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'List1'!$4:$7</definedName>
  </definedNames>
  <calcPr fullCalcOnLoad="1"/>
</workbook>
</file>

<file path=xl/comments1.xml><?xml version="1.0" encoding="utf-8"?>
<comments xmlns="http://schemas.openxmlformats.org/spreadsheetml/2006/main">
  <authors>
    <author>Kašák Martin Bc.</author>
  </authors>
  <commentList>
    <comment ref="I20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M20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I14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M14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I19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6125</t>
        </r>
      </text>
    </comment>
    <comment ref="I19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I19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I19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M190" authorId="0">
      <text>
        <r>
          <rPr>
            <b/>
            <sz val="9"/>
            <rFont val="Tahoma"/>
            <family val="2"/>
          </rPr>
          <t xml:space="preserve">Kašák Martin 
</t>
        </r>
        <r>
          <rPr>
            <sz val="9"/>
            <rFont val="Tahoma"/>
            <family val="2"/>
          </rPr>
          <t>položka 6125</t>
        </r>
      </text>
    </comment>
    <comment ref="M19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9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9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I14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M14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I14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M14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I18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M18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I1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6352</t>
        </r>
      </text>
    </comment>
    <comment ref="M1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6352</t>
        </r>
      </text>
    </comment>
    <comment ref="I14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M14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6127</t>
        </r>
      </text>
    </comment>
    <comment ref="I13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M13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I20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M20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</t>
        </r>
      </text>
    </comment>
    <comment ref="M19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J19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+127 tis. Kč RO č. 25</t>
        </r>
      </text>
    </comment>
    <comment ref="J19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+250 tis. Kč RO č. 31</t>
        </r>
      </text>
    </comment>
    <comment ref="J19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+980 tis. Kč RO č. 31</t>
        </r>
      </text>
    </comment>
    <comment ref="J2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+1.370 tis. Kč RO č. 2
+112 tis. Kč RO č. 93</t>
        </r>
      </text>
    </comment>
    <comment ref="J2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+1.452 tis. Kč RO č. 3
-1.300 tis. Kč RO č. 207</t>
        </r>
      </text>
    </comment>
    <comment ref="J9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-850 tis. Kč RO č. 8
-1.000 tis. Kč RO č. 9
-750 tis. Kč RO č. 36
-50 tis. Kč RO č. 40
-1.100 tis. Kč RO č. 41
-2.100 tis. Kč RO č. 180
-4.150 tis. Kč RO č. 267</t>
        </r>
      </text>
    </comment>
    <comment ref="J9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+850 tis. Kč RO č. 8
</t>
        </r>
      </text>
    </comment>
    <comment ref="J18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+550 tis. Kč RO č. 23</t>
        </r>
      </text>
    </comment>
    <comment ref="J16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+1.800 tis. Kč RO č. 24</t>
        </r>
      </text>
    </comment>
    <comment ref="J19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-127 tis. Kč RO č. 25</t>
        </r>
      </text>
    </comment>
    <comment ref="J6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9</t>
        </r>
      </text>
    </comment>
    <comment ref="J9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9</t>
        </r>
      </text>
    </comment>
    <comment ref="J20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-1.370 tis. Kč RO č. 2
-1.452 tis. Kč RO č. 3
-1.893 tis. Kč RO č. 4
-550 tis. Kč RO č. 23
-1.800 tis. Kč RO č. 24
-150 tis. Kč RO č. 71
-1.440 tis. Kč RO č. 73
-25 tis. Kč RO č. 103
-163 tis. Kč RO č. 114
-904 tis. Kč RO č. 264
</t>
        </r>
      </text>
    </comment>
    <comment ref="J1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+100 tis. Kč RO č. 34
+100 tis. Kč RO č. 92</t>
        </r>
      </text>
    </comment>
    <comment ref="J11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+600 tis. Kč RO č. 36
-600 tis. Kč RO č. 175</t>
        </r>
      </text>
    </comment>
    <comment ref="J11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+150 tis. Kč RO č. 36
</t>
        </r>
      </text>
    </comment>
    <comment ref="J7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-400 tis. Kč RO č. 40</t>
        </r>
      </text>
    </comment>
    <comment ref="J7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+400 tis. Kč RO č. 40 pol. 6122</t>
        </r>
      </text>
    </comment>
    <comment ref="J7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 tis. Kč RO č. 40
</t>
        </r>
      </text>
    </comment>
    <comment ref="J11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+800 tis. Kč RO č. 41
-200 tis. Kč RO č. 180</t>
        </r>
      </text>
    </comment>
    <comment ref="J11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+300 tis. Kč RO č. 41
+600 tis. Kč RO č. 99
-200 tis. Kč RO č. 180</t>
        </r>
      </text>
    </comment>
    <comment ref="J20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-200 tis. Kč RO č. 47
-112 tis. Kč RO č. 93
-50 tis. Kč RO č. 94
-402 tis. Kč RO č. 202
-29.096 tis. Kč RO č. 264</t>
        </r>
      </text>
    </comment>
    <comment ref="J14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+200 tis. Kč RO č. 47 pol. 6121
-200 tis. Kč RO č. 126 pol. 6127
+200 tis. Kč RO č. 126 pol. 6121</t>
        </r>
      </text>
    </comment>
    <comment ref="J17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-350 tis. Kč RO č. 51
-2.700 tis. Kč RO č. 198</t>
        </r>
      </text>
    </comment>
    <comment ref="J16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+250 tis. Kč RO č. 51
</t>
        </r>
      </text>
    </comment>
    <comment ref="J18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+100 tis. Kč RO č. 51</t>
        </r>
      </text>
    </comment>
    <comment ref="M12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6356</t>
        </r>
      </text>
    </comment>
    <comment ref="M12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6356</t>
        </r>
      </text>
    </comment>
    <comment ref="J12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+28 tis. Kč RO č. 55
</t>
        </r>
      </text>
    </comment>
    <comment ref="J12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+35 tis. Kč RO č. 55</t>
        </r>
      </text>
    </comment>
    <comment ref="J7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-2.000 tis. Kč RO č. 58
-2.000 tis. Kč RO č. 77
-1.200 tis. Kč RO č. 99
-300 tis. Kč RO č. 100
-3.000 tis. Kč RO č. 120
-550 tis. Kč RO č. 145
-2.000 tis. Kč RO č. 147
</t>
        </r>
        <r>
          <rPr>
            <u val="single"/>
            <sz val="9"/>
            <rFont val="Tahoma"/>
            <family val="2"/>
          </rPr>
          <t>+</t>
        </r>
        <r>
          <rPr>
            <sz val="9"/>
            <rFont val="Tahoma"/>
            <family val="2"/>
          </rPr>
          <t xml:space="preserve"> 450 tis. Kč RO č. 172
změna polžky z 6121 na 6130
-3.500 tis. Kč RO č. 179
-450 tis. Kč RO č. 267</t>
        </r>
      </text>
    </comment>
    <comment ref="J11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+2.000 tis. Kč RO č. 58</t>
        </r>
      </text>
    </comment>
    <comment ref="J4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+390 tis. Kč RO č. 73
-264 tis. Kč RO č. 117
+196 tis. Kč RO č. 117 pol. 6122</t>
        </r>
      </text>
    </comment>
    <comment ref="J5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+106 tis. Kč RO č. 76</t>
        </r>
      </text>
    </comment>
    <comment ref="J11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-1.000 tis. Kč RO č. 77</t>
        </r>
      </text>
    </comment>
    <comment ref="J13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+3.000 tis. Kč RO č. 77</t>
        </r>
      </text>
    </comment>
    <comment ref="J4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+1.785,5 tis. Kč RO č. 66</t>
        </r>
      </text>
    </comment>
    <comment ref="J4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+1.600 tis. Kč RO č. 66
-1.600 tis. Kč RO č. 167</t>
        </r>
      </text>
    </comment>
    <comment ref="J5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+170 tis. Kč RO č. 66
-170 tis. Kč RO č. 167</t>
        </r>
      </text>
    </comment>
    <comment ref="J5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+84,7 tis. Kč RO č. 66</t>
        </r>
      </text>
    </comment>
    <comment ref="J5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+200 tis. Kč RO č. 66</t>
        </r>
      </text>
    </comment>
    <comment ref="J4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+1.000 tis. Kč RO č. 54</t>
        </r>
      </text>
    </comment>
    <comment ref="J2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+250 tis. Kč RO č. 141</t>
        </r>
      </text>
    </comment>
    <comment ref="J3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+140 tis. Kč RO č. 66
</t>
        </r>
      </text>
    </comment>
    <comment ref="M13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6356</t>
        </r>
      </text>
    </comment>
    <comment ref="J12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+43.735,3 tis. Kč RO č. 66
-41.735,3 tis. Kč RO č. 123</t>
        </r>
      </text>
    </comment>
    <comment ref="J13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+320,3 tis. Kč RO č. 66</t>
        </r>
      </text>
    </comment>
    <comment ref="J13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+114 tis. Kč RO č. 53
</t>
        </r>
        <r>
          <rPr>
            <u val="single"/>
            <sz val="9"/>
            <rFont val="Tahoma"/>
            <family val="2"/>
          </rPr>
          <t>+</t>
        </r>
        <r>
          <rPr>
            <sz val="9"/>
            <rFont val="Tahoma"/>
            <family val="2"/>
          </rPr>
          <t xml:space="preserve"> 114 tis. Kč RO č. 187 změna položky z 6351 na 6356
-114 tis. Kč RO č. 228</t>
        </r>
      </text>
    </comment>
    <comment ref="J2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+150 tis. Kč RO č. 71</t>
        </r>
      </text>
    </comment>
    <comment ref="J4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74</t>
        </r>
      </text>
    </comment>
    <comment ref="J4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-500 tis. Kč RO č. 74</t>
        </r>
      </text>
    </comment>
    <comment ref="J4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+1.893 tis. Kč RO č. 4</t>
        </r>
      </text>
    </comment>
    <comment ref="J8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+14.000 tis. Kč RO č. 54
</t>
        </r>
      </text>
    </comment>
    <comment ref="J18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+127,9 tis. Kč RO č. 66</t>
        </r>
      </text>
    </comment>
    <comment ref="M20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J10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+600 tis. Kč RO č. 99</t>
        </r>
      </text>
    </comment>
    <comment ref="J12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+300 tis. Kč RO č. 100
+2.000 tis. Kč RO č. 147</t>
        </r>
      </text>
    </comment>
    <comment ref="J13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+25 tis. Kč RO č. 103</t>
        </r>
      </text>
    </comment>
    <comment ref="J15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+470 tis. Kč RO č. 107</t>
        </r>
      </text>
    </comment>
    <comment ref="J18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1.200 tis. Kč RO č. 112
-1.800 tis. Kč RO č. 113
-190,5 tis. Kč RO č. 133
-9.000 tis. Kč RO č. 194</t>
        </r>
      </text>
    </comment>
    <comment ref="J17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+1.200 tis. Kč RO č.112</t>
        </r>
      </text>
    </comment>
    <comment ref="J18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+1.800 tis. Kč RO č. 113
-800 tis. Kč RO č. 200</t>
        </r>
      </text>
    </comment>
    <comment ref="J20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+163 tis. Kč RO č. 114</t>
        </r>
      </text>
    </comment>
    <comment ref="J5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119
-354 tis. Kč RO č. 234</t>
        </r>
      </text>
    </comment>
    <comment ref="J3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-800 tis. Kč RO č. 119</t>
        </r>
      </text>
    </comment>
    <comment ref="M18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6130</t>
        </r>
      </text>
    </comment>
    <comment ref="J18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+190,5 tis. Kč RO 133</t>
        </r>
      </text>
    </comment>
    <comment ref="J14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+12.000 tis. Kč RO č. 123</t>
        </r>
      </text>
    </comment>
    <comment ref="J1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-383 tis. Kč RO č. 116</t>
        </r>
      </text>
    </comment>
    <comment ref="J13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+3.000 tis. Kč RO č. 123</t>
        </r>
      </text>
    </comment>
    <comment ref="J13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+26.735,3 tis. Kč RO č. 123</t>
        </r>
      </text>
    </comment>
    <comment ref="M12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6322</t>
        </r>
      </text>
    </comment>
    <comment ref="J12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+444,4 tis. Kč RO č. 132
</t>
        </r>
      </text>
    </comment>
    <comment ref="J20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+1.323,1 tis. Kč RO č. 136
</t>
        </r>
      </text>
    </comment>
    <comment ref="M20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6901
</t>
        </r>
      </text>
    </comment>
    <comment ref="J10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+3.000 tis. Kč RO č. 120</t>
        </r>
      </text>
    </comment>
    <comment ref="J2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-250 tis. Kč RO č. 141</t>
        </r>
      </text>
    </comment>
    <comment ref="J2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-140 tis. Kč RO č. 141</t>
        </r>
      </text>
    </comment>
    <comment ref="J6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-270 tis. Kč RO č. 145</t>
        </r>
      </text>
    </comment>
    <comment ref="J9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+270 tis. Kč RO č. 145</t>
        </r>
      </text>
    </comment>
    <comment ref="J10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+550 tis. Kč RO č. 145</t>
        </r>
      </text>
    </comment>
    <comment ref="J9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-1.300 tis. Kč RO č. 146</t>
        </r>
      </text>
    </comment>
    <comment ref="J6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+1.300 tis. Kč RO č. 146</t>
        </r>
      </text>
    </comment>
    <comment ref="M12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6322</t>
        </r>
      </text>
    </comment>
    <comment ref="J12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+455,6 tis. Kč RO č. 148</t>
        </r>
      </text>
    </comment>
    <comment ref="J19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-1.300 tis. Kč RO č. 160
</t>
        </r>
      </text>
    </comment>
    <comment ref="J19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-1.000 tis. Kč RO č. 160
</t>
        </r>
      </text>
    </comment>
    <comment ref="J19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+2.300 tis. Kč RO č. 160
</t>
        </r>
      </text>
    </comment>
    <comment ref="J3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+100 tis. Kč RO č. 143</t>
        </r>
      </text>
    </comment>
    <comment ref="J2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+250 tis. Kč RO č.66
</t>
        </r>
      </text>
    </comment>
    <comment ref="J3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+140 tis. Kč RO č. 141</t>
        </r>
      </text>
    </comment>
    <comment ref="J17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-220 tis. Kč RO č. 159
-180 tis. Kč RO č. 201</t>
        </r>
      </text>
    </comment>
    <comment ref="J16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+220 tis. Kč RO č. 159</t>
        </r>
      </text>
    </comment>
    <comment ref="M15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J39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+60 tis. Kč RO č. 164</t>
        </r>
      </text>
    </comment>
    <comment ref="J37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</t>
        </r>
        <r>
          <rPr>
            <u val="single"/>
            <sz val="9"/>
            <rFont val="Tahoma"/>
            <family val="2"/>
          </rPr>
          <t>+</t>
        </r>
        <r>
          <rPr>
            <sz val="9"/>
            <rFont val="Tahoma"/>
            <family val="2"/>
          </rPr>
          <t xml:space="preserve"> 700 tis. Kč RO č. 165
změna položky z 6122 na 6121</t>
        </r>
      </text>
    </comment>
    <comment ref="J5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+390 tis. Kč RO č. 166</t>
        </r>
      </text>
    </comment>
    <comment ref="J5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+250 tis. Kč RO č. 166</t>
        </r>
      </text>
    </comment>
    <comment ref="M7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6130</t>
        </r>
      </text>
    </comment>
    <comment ref="J6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-700 tis. Kč RO č. 175</t>
        </r>
      </text>
    </comment>
    <comment ref="J7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-100 tis. Kč rO č. 175</t>
        </r>
      </text>
    </comment>
    <comment ref="J10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-800 tis. Kč RO č. 175</t>
        </r>
      </text>
    </comment>
    <comment ref="J10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-100 tis. Kč RO č. 175</t>
        </r>
      </text>
    </comment>
    <comment ref="J8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-1.900 tis. Kč RO č. 176</t>
        </r>
      </text>
    </comment>
    <comment ref="J11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-1.800 tis. Kč RO č. 176</t>
        </r>
      </text>
    </comment>
    <comment ref="J11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-1.000 tis. Kč RO č. 176</t>
        </r>
      </text>
    </comment>
    <comment ref="J6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-3.500 tis. Kč RO č. 177</t>
        </r>
      </text>
    </comment>
    <comment ref="J7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-100 tis. Kč RO č. 177</t>
        </r>
      </text>
    </comment>
    <comment ref="J7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-140 tis. Kč RO č. 177</t>
        </r>
      </text>
    </comment>
    <comment ref="J7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-140 tis. Kč RO č. 177</t>
        </r>
      </text>
    </comment>
    <comment ref="J8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-100 tis. Kč RO č. 177
</t>
        </r>
      </text>
    </comment>
    <comment ref="J9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-550 tis. Kč RO č. 177</t>
        </r>
      </text>
    </comment>
    <comment ref="J10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-1.500 tis. Kč RO č. 177</t>
        </r>
      </text>
    </comment>
    <comment ref="J11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-200 tis. Kč RO č. 177</t>
        </r>
      </text>
    </comment>
    <comment ref="J8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-2.500 tis. Kč RO č. 178</t>
        </r>
      </text>
    </comment>
    <comment ref="J8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-1.500 tis. Kč RO č. 178</t>
        </r>
      </text>
    </comment>
    <comment ref="J8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-1.200 tis. Kč RO č. 178</t>
        </r>
      </text>
    </comment>
    <comment ref="J8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-2.000 tis. Kč RO č. 178</t>
        </r>
      </text>
    </comment>
    <comment ref="J9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-700 tis. Kč RO č. 179</t>
        </r>
      </text>
    </comment>
    <comment ref="J10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-5.800 tis. Kč RO č. 179</t>
        </r>
      </text>
    </comment>
    <comment ref="J71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-3.500 tis. Kč RO č. 180</t>
        </r>
      </text>
    </comment>
    <comment ref="J8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-4.000 tis. Kč RO č. 180</t>
        </r>
      </text>
    </comment>
    <comment ref="J11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-800 tis. Kč RO č. 180</t>
        </r>
      </text>
    </comment>
    <comment ref="M8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6351</t>
        </r>
      </text>
    </comment>
    <comment ref="J8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+80 tis. Kč RO č. 181
+80 tis. Kč RO č. 268</t>
        </r>
      </text>
    </comment>
    <comment ref="M14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6356</t>
        </r>
      </text>
    </comment>
    <comment ref="J14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184
-500 tis. Kč RO č. 228</t>
        </r>
      </text>
    </comment>
    <comment ref="J15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191
-500 tis. Kč RO č. 228</t>
        </r>
      </text>
    </comment>
    <comment ref="J16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-5.000 tis. Kč RO č. 195
-80 tis. Kč RO č. 253
-250 tis. Kč RO č. 254
-49.670 tis. Kč RO č. 263</t>
        </r>
      </text>
    </comment>
    <comment ref="J16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-10.500 tis. Kč RO č. 196</t>
        </r>
      </text>
    </comment>
    <comment ref="J17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-2.800 tis. Kč RO č. 197</t>
        </r>
      </text>
    </comment>
    <comment ref="J16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-1.870 tis. Kč RO č. 199
+250 tis. Kč RO č. 254</t>
        </r>
      </text>
    </comment>
    <comment ref="J17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-700 tis. Kč RO č. 200</t>
        </r>
      </text>
    </comment>
    <comment ref="J177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-500 tis. Kč RO č. 201</t>
        </r>
      </text>
    </comment>
    <comment ref="M19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6111</t>
        </r>
      </text>
    </comment>
    <comment ref="J19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+402 tis. Kč RO č. 202</t>
        </r>
      </text>
    </comment>
    <comment ref="J18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-400 tis. Kč RO č. 203</t>
        </r>
      </text>
    </comment>
    <comment ref="J9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-1.000 tis. Kč RO č. 206</t>
        </r>
      </text>
    </comment>
    <comment ref="J12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-1.000 tis. Kč RO č. 206</t>
        </r>
      </text>
    </comment>
    <comment ref="J11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-1.000 tis. Kč RO č. 206</t>
        </r>
      </text>
    </comment>
    <comment ref="J18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-800 tis. Kč RO č. 207</t>
        </r>
      </text>
    </comment>
    <comment ref="J16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-2.500 tis. Kč RO č. 207</t>
        </r>
      </text>
    </comment>
    <comment ref="J17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-1.000 tis. Kč RO č. 208</t>
        </r>
      </text>
    </comment>
    <comment ref="J14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-800 tis. Kč RO č. 208</t>
        </r>
      </text>
    </comment>
    <comment ref="J13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-500 tis. Kč RO č. 208</t>
        </r>
      </text>
    </comment>
    <comment ref="J92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+2.000 tis. Kč RO č. 215</t>
        </r>
      </text>
    </comment>
    <comment ref="J164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+6.000 tis. Kč RO č. 215</t>
        </r>
      </text>
    </comment>
    <comment ref="J128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-2.000 tis. Kč RO č. 220</t>
        </r>
      </text>
    </comment>
    <comment ref="J13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-2.000 tis. Kč RO č. 220</t>
        </r>
      </text>
    </comment>
    <comment ref="J132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-2.500 tis. Kč RO č. 221</t>
        </r>
      </text>
    </comment>
    <comment ref="J134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-2.000 tis. Kč RO č. 221</t>
        </r>
      </text>
    </comment>
    <comment ref="J13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-500 tis. Kč RO č. 222</t>
        </r>
      </text>
    </comment>
    <comment ref="J149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-400 tis. Kč RO č. 227</t>
        </r>
      </text>
    </comment>
    <comment ref="M14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6356</t>
        </r>
      </text>
    </comment>
    <comment ref="J143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228</t>
        </r>
      </text>
    </comment>
    <comment ref="M15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6123</t>
        </r>
      </text>
    </comment>
    <comment ref="J155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+500 tis. Kč RO č. 228
-201 tis. Kč RO č. 274</t>
        </r>
      </text>
    </comment>
    <comment ref="M14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položka 6356</t>
        </r>
      </text>
    </comment>
    <comment ref="J140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+114 tis. Kč RO č. 228</t>
        </r>
      </text>
    </comment>
    <comment ref="J156" authorId="0">
      <text>
        <r>
          <rPr>
            <b/>
            <sz val="9"/>
            <rFont val="Tahoma"/>
            <family val="2"/>
          </rPr>
          <t>Kašák Martin Bc.:</t>
        </r>
        <r>
          <rPr>
            <sz val="9"/>
            <rFont val="Tahoma"/>
            <family val="2"/>
          </rPr>
          <t xml:space="preserve">
+400 tis. Kč RO č. 228
-63,9 tis. Kč RO č. 274</t>
        </r>
      </text>
    </comment>
    <comment ref="M123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položka 6351</t>
        </r>
      </text>
    </comment>
    <comment ref="J80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+450 tis. Kč RO č. 267
</t>
        </r>
      </text>
    </comment>
    <comment ref="M80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položka 6130</t>
        </r>
      </text>
    </comment>
    <comment ref="J91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+4.150 tis. Kč RO č. 267</t>
        </r>
      </text>
    </comment>
    <comment ref="J123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+320,7 tis. Kč RO č. 268</t>
        </r>
      </text>
    </comment>
    <comment ref="J157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+264,9 tis. Kč RO č. 274</t>
        </r>
      </text>
    </comment>
    <comment ref="J163" authorId="0">
      <text>
        <r>
          <rPr>
            <b/>
            <sz val="9"/>
            <rFont val="Tahoma"/>
            <family val="0"/>
          </rPr>
          <t>Kašák Martin Bc.:</t>
        </r>
        <r>
          <rPr>
            <sz val="9"/>
            <rFont val="Tahoma"/>
            <family val="0"/>
          </rPr>
          <t xml:space="preserve">
+49.670 tis. Kč RO č. 263
</t>
        </r>
      </text>
    </comment>
  </commentList>
</comments>
</file>

<file path=xl/sharedStrings.xml><?xml version="1.0" encoding="utf-8"?>
<sst xmlns="http://schemas.openxmlformats.org/spreadsheetml/2006/main" count="545" uniqueCount="314">
  <si>
    <t>TAB.03- DOPRAVA</t>
  </si>
  <si>
    <t>Čerpání.</t>
  </si>
  <si>
    <t>z toho</t>
  </si>
  <si>
    <t>S R</t>
  </si>
  <si>
    <t xml:space="preserve">UR </t>
  </si>
  <si>
    <t xml:space="preserve">   z toho</t>
  </si>
  <si>
    <t>ÚZ</t>
  </si>
  <si>
    <t xml:space="preserve">Odvětví - Název  akce </t>
  </si>
  <si>
    <t>stroje,</t>
  </si>
  <si>
    <t>celkem</t>
  </si>
  <si>
    <t>stavby</t>
  </si>
  <si>
    <t>TAB. 01 - ROZVOJ OBCE</t>
  </si>
  <si>
    <t xml:space="preserve">TAB. 08 - HOSPODÁŘSTVÍ </t>
  </si>
  <si>
    <t>TAB. 09 - VNITŘNÍ SPRÁVA</t>
  </si>
  <si>
    <t>TAB. 10 - POKLADNÍ SPRÁVA - rezerva</t>
  </si>
  <si>
    <t>ÚHRN  ZA  M.Č.  PRAHA 6</t>
  </si>
  <si>
    <t>TAB. 04 - ŠKOLSTVÍ  A VZDĚLÁVÁNÍ</t>
  </si>
  <si>
    <t xml:space="preserve">TAB. 05 - ZDRAVOTNICTVÍ A SOC. OBL. </t>
  </si>
  <si>
    <t>TAB. 06 - KULTURA</t>
  </si>
  <si>
    <t xml:space="preserve"> Městská část Praha 6 - odd. fin. plánů a rozpočtu EO</t>
  </si>
  <si>
    <t xml:space="preserve"> v tis. Kč</t>
  </si>
  <si>
    <t>č.akce</t>
  </si>
  <si>
    <t xml:space="preserve">                 </t>
  </si>
  <si>
    <t xml:space="preserve">                  </t>
  </si>
  <si>
    <t xml:space="preserve">                   </t>
  </si>
  <si>
    <t xml:space="preserve">                    </t>
  </si>
  <si>
    <t xml:space="preserve">                      </t>
  </si>
  <si>
    <t>TAB.02- MĚSTSKÁ INFRASTRUKTURA</t>
  </si>
  <si>
    <t>ORG</t>
  </si>
  <si>
    <t>Odd.§</t>
  </si>
  <si>
    <t>ORJ</t>
  </si>
  <si>
    <t>02 12</t>
  </si>
  <si>
    <t>08 10</t>
  </si>
  <si>
    <t>stroje</t>
  </si>
  <si>
    <t>budovy</t>
  </si>
  <si>
    <t>vybavení</t>
  </si>
  <si>
    <t>I.P.</t>
  </si>
  <si>
    <t>ost.inv.vý</t>
  </si>
  <si>
    <t>ost.in.výd</t>
  </si>
  <si>
    <t>ost.inv.</t>
  </si>
  <si>
    <t xml:space="preserve">                  z toho</t>
  </si>
  <si>
    <t>TAB. 07 - BEZPEČNOST</t>
  </si>
  <si>
    <t>04 02</t>
  </si>
  <si>
    <t>05 06</t>
  </si>
  <si>
    <t>06 05</t>
  </si>
  <si>
    <t>01 05</t>
  </si>
  <si>
    <t>09 14</t>
  </si>
  <si>
    <t>03 12</t>
  </si>
  <si>
    <t>09 15</t>
  </si>
  <si>
    <t>Kamerový systém</t>
  </si>
  <si>
    <t>Investiční rozpočtová rezerva</t>
  </si>
  <si>
    <t>čerpání</t>
  </si>
  <si>
    <t>v %</t>
  </si>
  <si>
    <t>UR /</t>
  </si>
  <si>
    <t>Podzemní kontejnery</t>
  </si>
  <si>
    <t>13638</t>
  </si>
  <si>
    <t>18601</t>
  </si>
  <si>
    <t>18603</t>
  </si>
  <si>
    <t>18604</t>
  </si>
  <si>
    <t>16613</t>
  </si>
  <si>
    <t>17614</t>
  </si>
  <si>
    <t>Pamětní desky</t>
  </si>
  <si>
    <t>16622</t>
  </si>
  <si>
    <t>4</t>
  </si>
  <si>
    <t>18653</t>
  </si>
  <si>
    <t>18655</t>
  </si>
  <si>
    <t>13620</t>
  </si>
  <si>
    <t>za 1.-12</t>
  </si>
  <si>
    <t>19601</t>
  </si>
  <si>
    <t>19602</t>
  </si>
  <si>
    <t>19607</t>
  </si>
  <si>
    <t>19611</t>
  </si>
  <si>
    <t>18619</t>
  </si>
  <si>
    <t>19619</t>
  </si>
  <si>
    <t>13646</t>
  </si>
  <si>
    <t>Rekonstrukce bytového domu Dejvická 184/4 (pokračování)</t>
  </si>
  <si>
    <t>Rekonstrukce střešního pláště bytového domu náměstí Svobody 728/1</t>
  </si>
  <si>
    <t xml:space="preserve">09 14 </t>
  </si>
  <si>
    <t>04 03</t>
  </si>
  <si>
    <t>17684</t>
  </si>
  <si>
    <t>19652</t>
  </si>
  <si>
    <t>19654</t>
  </si>
  <si>
    <t>19656</t>
  </si>
  <si>
    <t>19666</t>
  </si>
  <si>
    <t>19667</t>
  </si>
  <si>
    <t>19668</t>
  </si>
  <si>
    <t>19669</t>
  </si>
  <si>
    <t>19670</t>
  </si>
  <si>
    <t>18680</t>
  </si>
  <si>
    <t>Energetické, ekonomické a technické posouzení MŠ</t>
  </si>
  <si>
    <t xml:space="preserve">Čerpání rozpočtu kapitálových výdajů m.č. Praha 6 za rok 2020 </t>
  </si>
  <si>
    <t>Park Lazaro Cardenase del Rio - PD</t>
  </si>
  <si>
    <t>Macharovo náměstí - PD</t>
  </si>
  <si>
    <t>Plán pro Ladronku</t>
  </si>
  <si>
    <t>MŠ Červený Vrch - soutěž</t>
  </si>
  <si>
    <t>MŠ Na Marně - PD</t>
  </si>
  <si>
    <t>Spolupráce s ČVUT - investiční dotace</t>
  </si>
  <si>
    <t>Objekt Milady Horákové 99 - soutěž</t>
  </si>
  <si>
    <t>Rekonstrukce objektu bubenečského nádraží - PD</t>
  </si>
  <si>
    <t>Veřejný prostor</t>
  </si>
  <si>
    <t>Revitalizace veřejného prostoru - PD</t>
  </si>
  <si>
    <t>Projekt "chytré město"</t>
  </si>
  <si>
    <t>20601</t>
  </si>
  <si>
    <t>20602</t>
  </si>
  <si>
    <t>20603</t>
  </si>
  <si>
    <t>20604</t>
  </si>
  <si>
    <t>Mlhoviště Puškinovo náměstí a úprava okolí</t>
  </si>
  <si>
    <t>Mlhoviště Lotyšské náměstí</t>
  </si>
  <si>
    <t>Pítka na území MČ Praha 6 - PD</t>
  </si>
  <si>
    <t>Rekonstrukce pěší cesty Tallichova x Stamicova - PD</t>
  </si>
  <si>
    <t>Agility hřiště - realizace</t>
  </si>
  <si>
    <t>Revitalizace vnitrobloků Červený vrch - PD - 1.etapa</t>
  </si>
  <si>
    <t>Smart toalety na další 2 dětská hřiště</t>
  </si>
  <si>
    <t>Nákup velkých herních prvků</t>
  </si>
  <si>
    <t>Kuličkový areál  - náměstí Interbrigády - PD</t>
  </si>
  <si>
    <t>Revitalizace opěrné zídky vnitroblok Kladenská 544</t>
  </si>
  <si>
    <t>Revitalizace fotbalového hřiště Pod Ořechovkou</t>
  </si>
  <si>
    <t>Revitalizace travnatých povrchů tramvajových pásů</t>
  </si>
  <si>
    <t>20605</t>
  </si>
  <si>
    <t>20606</t>
  </si>
  <si>
    <t>20607</t>
  </si>
  <si>
    <t>20608</t>
  </si>
  <si>
    <t>20609</t>
  </si>
  <si>
    <t>20610</t>
  </si>
  <si>
    <t>20611</t>
  </si>
  <si>
    <t>20612</t>
  </si>
  <si>
    <t>20613</t>
  </si>
  <si>
    <t>20614</t>
  </si>
  <si>
    <t>Měřiče rychlosti</t>
  </si>
  <si>
    <t>MŠ Tychonova - celková rekonstrukce - PD</t>
  </si>
  <si>
    <t>MŠ Velvarská - modernizace vzduchotechniky, měření a regulace - PD</t>
  </si>
  <si>
    <t>MŠ Bubeníčkova - odvodnění ploch přiléhajících k objektu MŠ - PD</t>
  </si>
  <si>
    <t>Dopracování a aktualizace pasportů MŠ</t>
  </si>
  <si>
    <t>MŠ Juárezova - celková rekontrukce - PD</t>
  </si>
  <si>
    <t>MŠ Bubeníčkova - dokončení modernizace oplocení</t>
  </si>
  <si>
    <t>MŠ Mládeže - modernizace vzduchotechniky včetně PD</t>
  </si>
  <si>
    <t xml:space="preserve">MŠ Pod Novým lesem - dokončení výměny oken </t>
  </si>
  <si>
    <t>MŠ Pod Novým lesem - výměna kotlů včetně PD</t>
  </si>
  <si>
    <t>MŠ Volavkova - odvonění ploch přiléhajících k objektu MŠ - PD</t>
  </si>
  <si>
    <t>MŠ Čínská - doplnění stínění do oken - PD</t>
  </si>
  <si>
    <t>MŠ Motýlek - doplnění stínění do oken - PD</t>
  </si>
  <si>
    <t>Fakultní MŠ - celková rekonstrukce střechy - PD</t>
  </si>
  <si>
    <t>MŠ Vokovická parc. č. 1281/256, 257 - novostavba 4 tř.MŠ vč.PD - zahájení stavby</t>
  </si>
  <si>
    <t>MŠ Libocká - celková rekonstrukce, vč. 2 třídní přístavby MŠ s výtahem - PD</t>
  </si>
  <si>
    <t>MŠ Janákova - přístavba 2 třídní MŠ včetně rekonstrukce stávajícího objektu - PD</t>
  </si>
  <si>
    <t>Novostavba 4 třídní MŠ v areálu ZŠ Červený vrch - PD 1. část</t>
  </si>
  <si>
    <t>MŠ Šmolíkova - dokončení rekonstrukce včetně nástavby - PD</t>
  </si>
  <si>
    <t>Realizace opatření pro využití srážkových vod v objektech MŠ</t>
  </si>
  <si>
    <t>ZŠ J.A.Komenského - půdní vestavba - PD</t>
  </si>
  <si>
    <t>ZŠ Bílá - rekonstrukce venkovního sportoviště včetně PD</t>
  </si>
  <si>
    <t>ZŠ Hanspaulka - doplnění vzduchotechniky a klimatizace včetně PD</t>
  </si>
  <si>
    <t>ZŠ Kocínka - výstavba nového objektu - dopracování PD</t>
  </si>
  <si>
    <t>ZŠ E. Destinnové a ZŠ nám. Svobody 2 - půdní vestavba - PD</t>
  </si>
  <si>
    <t>Dopracování a aktualizace pasportů ZŠ vč. rozvahy navyšování kapacit</t>
  </si>
  <si>
    <t>ZŠ E. Destinnové a ZŠ nám. Svobody 2 - výměna ZTI instalací - PD</t>
  </si>
  <si>
    <t xml:space="preserve">Energetické, ekonomické a technické posouzení ZŠ </t>
  </si>
  <si>
    <t>ZŠ J.A.Komenského - přestavba ředitelny ZUŠ - PD</t>
  </si>
  <si>
    <t>ZŠ E. Destinnové - vybudování DH Českomalínská včetně dopracování PD</t>
  </si>
  <si>
    <t>ZŠ J.A.Komenského - modernizace elektroinstalace - PD</t>
  </si>
  <si>
    <t>ZŠ E. Destinnové - objekt Českomalínská - celková rekonstrukce střechy - PD</t>
  </si>
  <si>
    <t>ZŠ Norbertov - doplnění chlazení do půdní vestavby - PD</t>
  </si>
  <si>
    <t>ZŠ Norbertov - vybudování venkovního sportoviště - PD</t>
  </si>
  <si>
    <t>Realizace opatření pro využití srážkových vod v objektech ZŠ</t>
  </si>
  <si>
    <t>ZŠ Marjánka - navýšení kapacity a vybudování tělocvičny - PD</t>
  </si>
  <si>
    <t>ZŠ TGM - navýšení kapacity o 2 třídy (vila Pamela)</t>
  </si>
  <si>
    <t>ZŠ E. Destinnové - akustika jídelny a zázemí - PD</t>
  </si>
  <si>
    <t>ZŠ J.A.Komenského - rekonstrukce školní kuchyně - PD</t>
  </si>
  <si>
    <t>19613</t>
  </si>
  <si>
    <t>19643</t>
  </si>
  <si>
    <t>20615</t>
  </si>
  <si>
    <t>20618</t>
  </si>
  <si>
    <t>20619</t>
  </si>
  <si>
    <t>20620</t>
  </si>
  <si>
    <t>20621</t>
  </si>
  <si>
    <t>20622</t>
  </si>
  <si>
    <t>ZŠ E. Destinnové - obj. Českomalínská - doplnění nuceného větrání a stínění do oken - PD</t>
  </si>
  <si>
    <t>20624</t>
  </si>
  <si>
    <t>20625</t>
  </si>
  <si>
    <t>20626</t>
  </si>
  <si>
    <t>20627</t>
  </si>
  <si>
    <t>Rekonstrukce polikliniky Pod Marjánkou - dopracování PD</t>
  </si>
  <si>
    <t>Přístavba polikliniky Pod Marjánkou - pokračování</t>
  </si>
  <si>
    <t>Nová LDN - soutěž o návrh</t>
  </si>
  <si>
    <t>Modernizace LDN</t>
  </si>
  <si>
    <t>Seniorské centrum Šatovka - PD rekonstrukce a dostavby areálu</t>
  </si>
  <si>
    <t>Objekt Starostřešovická 79/15 - zřízení dětské skupiny - PD</t>
  </si>
  <si>
    <t>PRO 6 - nákladní a osobní automobil</t>
  </si>
  <si>
    <t>Plastika Marie Terezie - dokončení</t>
  </si>
  <si>
    <t>Modely významných objektů</t>
  </si>
  <si>
    <t>Sochy a plastiky do veřejného prostoru</t>
  </si>
  <si>
    <t>Úprava vnitrobloku Bubenečská - Dr. Zikmunda Wintra - Eliášova - Raisova</t>
  </si>
  <si>
    <t>Rekonstrukce bytů a nebytových prostor (různé budovy)</t>
  </si>
  <si>
    <t>Hydroizolace, výměna oken (jiné technické parametry) a doplnění nuceného větrání bytového domu Obora Hvězda 1</t>
  </si>
  <si>
    <t>Rekonstrukce výtahových kabin v bytovém domě nám.Svobody 728/1</t>
  </si>
  <si>
    <t>Výměna střešní krytiny (včetně kotvení) bytových domů Kajetánky (ul. Jílkova, Nad Kajetánkou, Patočkova)</t>
  </si>
  <si>
    <t>Zřízení zázemí v Pečovatelské službě Prahy 6</t>
  </si>
  <si>
    <t>Modernizace elektroinstalace společných prostor bytového domu nám. Svobody 728/1 - PD</t>
  </si>
  <si>
    <t>Výměna oken (jiné technické parametry) v domě Dejvická 397/34</t>
  </si>
  <si>
    <t>Rekonstrukce zdravotně-technických instalací v domě Dejvická 397/34</t>
  </si>
  <si>
    <t>Rekonstrukce systému vytápění nebytových prostor a výměna výkladců (jiné technické parametry) v nebytových prostorech domu náměstí Svobody 728/1</t>
  </si>
  <si>
    <t>Rekonstrukce kotelen a systémů vytápění (různé budovy)</t>
  </si>
  <si>
    <t>Rozšíření systémů Ginis, e-spis, Proxio</t>
  </si>
  <si>
    <t>Rozšíření infrastruktury - vč.licencí, uložiště, síť.prvků</t>
  </si>
  <si>
    <t>Tvorba webových stránek</t>
  </si>
  <si>
    <t>Hardware a software systému MaR</t>
  </si>
  <si>
    <t>Stavební úpravy ÚMČ</t>
  </si>
  <si>
    <t>1. etapa výměny osvětlení</t>
  </si>
  <si>
    <t>Obměna vozového parku</t>
  </si>
  <si>
    <t>20629</t>
  </si>
  <si>
    <t>20630</t>
  </si>
  <si>
    <t>20631</t>
  </si>
  <si>
    <t>Rekonstr. zdravotně-technických instalací v bytovém domě nám. Svobody 728/1</t>
  </si>
  <si>
    <t>Rekonstr. nebytových prostor a hydroizolace bytov. domu Střešovická 532/23 - PD</t>
  </si>
  <si>
    <t xml:space="preserve">09 15 </t>
  </si>
  <si>
    <t>Aplikace CROSEUS - registr smluv pro ZŠ a MŠ</t>
  </si>
  <si>
    <t>09 13</t>
  </si>
  <si>
    <t>Smart Prague - Projekt Evropská</t>
  </si>
  <si>
    <t>0081218020641</t>
  </si>
  <si>
    <t>0081219020642</t>
  </si>
  <si>
    <t>18645</t>
  </si>
  <si>
    <t>Plivátko žije</t>
  </si>
  <si>
    <t>16603</t>
  </si>
  <si>
    <t>Šesťák II. etapa</t>
  </si>
  <si>
    <t>17683</t>
  </si>
  <si>
    <t>ZŠ T.G.Masaryka - výměna plynových kotlů</t>
  </si>
  <si>
    <t>Geodetické zaměření prostor 1. NP a 1. PP objektu náměstí Svobody 728/1</t>
  </si>
  <si>
    <t>Zateplení fasády a střechy budovy Patočkova 1641/71 (dokončení)</t>
  </si>
  <si>
    <t>19618</t>
  </si>
  <si>
    <t>05 02</t>
  </si>
  <si>
    <t>07 15</t>
  </si>
  <si>
    <t>ZŠ E. Destinnové a ZŠ nám. Svobody 2 - PD rekonstrukce plochých střech a teras</t>
  </si>
  <si>
    <t>ZŠ TGM - objekt Bělohorská 174 - PD výměny části oken</t>
  </si>
  <si>
    <t>20645</t>
  </si>
  <si>
    <t>ZŠ Dědina - PD navýšení kapacity</t>
  </si>
  <si>
    <t>15650</t>
  </si>
  <si>
    <t>KES - studie dopravního připojení lokality Hradčanská</t>
  </si>
  <si>
    <t>Dodání a montáž technologie na čerpání vody - zavlažování parku Kajetánka</t>
  </si>
  <si>
    <t>Dodání a montáž měřícího a regulačního zařízení - vodní prvek nad garážemi Kafkova - Wuchterlova</t>
  </si>
  <si>
    <t>Smart Prague - Program nízkouhlíkové MČ Praha 6</t>
  </si>
  <si>
    <t>ZŠ Červený vrch - doplnění stínění do oken včetně PD</t>
  </si>
  <si>
    <t>20646</t>
  </si>
  <si>
    <t>2 0 2 0</t>
  </si>
  <si>
    <t>Grilovací/piknikové místo s bylinkovou zahrádkou na Dědině</t>
  </si>
  <si>
    <t>Doplnění venkovního sportoviště u vstupu do obory Hvězda</t>
  </si>
  <si>
    <t>Kuličkový areál Dědina</t>
  </si>
  <si>
    <t>20647</t>
  </si>
  <si>
    <t>20648</t>
  </si>
  <si>
    <t>0080754016609</t>
  </si>
  <si>
    <t>0081051019660</t>
  </si>
  <si>
    <t>0081052019604</t>
  </si>
  <si>
    <t>0081065019607</t>
  </si>
  <si>
    <t>0081065019662</t>
  </si>
  <si>
    <t>0081065020605</t>
  </si>
  <si>
    <t>0081066019663</t>
  </si>
  <si>
    <t>0081304020613</t>
  </si>
  <si>
    <t>Opatření ke zvýšení vitality stromů - alej 90</t>
  </si>
  <si>
    <t>WC v parku Myslbekova (Max van der Stoela)</t>
  </si>
  <si>
    <t>Úprava vnitrobloku včetně DH - Evropská 156</t>
  </si>
  <si>
    <t>Mlhoviště na území MČ Praha 6</t>
  </si>
  <si>
    <t>Podzemní nádrže na dešťovou vodu</t>
  </si>
  <si>
    <t>0081127019659</t>
  </si>
  <si>
    <t>Rekonstrukce služebny policie ve Střešovičkách 1990/5</t>
  </si>
  <si>
    <t>0080369017614</t>
  </si>
  <si>
    <t>Rekonstrukce polikliniky Pod Marjánkou</t>
  </si>
  <si>
    <t>0080494017655</t>
  </si>
  <si>
    <t>LDN - modernizace vybavení</t>
  </si>
  <si>
    <t>0081303016614</t>
  </si>
  <si>
    <t>MŠ Vokovická parc. č. 1281/256, 257 - novostavba 4 tř.MŠ vč.PD</t>
  </si>
  <si>
    <t>2541134000000</t>
  </si>
  <si>
    <t>Operační program Praha - pól růstu</t>
  </si>
  <si>
    <t>6</t>
  </si>
  <si>
    <t>Krizová situace s rozšířením nového typu koronaviru</t>
  </si>
  <si>
    <t>Rekonstrukce půdních prostor na bytové prostory s vytvořením parkování - Střešovická 532/23 - PD</t>
  </si>
  <si>
    <t>Kříž Smíření - stavební práce</t>
  </si>
  <si>
    <t>ZŠ J. A. Komenského - výměny instalací ZTI</t>
  </si>
  <si>
    <t>20651</t>
  </si>
  <si>
    <t>Aplikace "Lepší Šestka"</t>
  </si>
  <si>
    <t>Fitnes koutek hřiště v Sedlci</t>
  </si>
  <si>
    <t>20652</t>
  </si>
  <si>
    <t>Odkoupení pozemků parc. č. 2365/1 a 2365/2 v k. ú. Břevnov</t>
  </si>
  <si>
    <t>Rekonstrukce objektu LDN</t>
  </si>
  <si>
    <t>0081364020654</t>
  </si>
  <si>
    <t>90</t>
  </si>
  <si>
    <t>Rekonstr. sklepních kójí v bytovém domě Zelená 1084/15 a 15a - projekt. příprava</t>
  </si>
  <si>
    <t>0081365013646</t>
  </si>
  <si>
    <t>LDN Drnovská - výstavba nové LDN - PP</t>
  </si>
  <si>
    <t>0081366019619</t>
  </si>
  <si>
    <t>Přístavba polikliniky Pod Marjánkou</t>
  </si>
  <si>
    <t>3</t>
  </si>
  <si>
    <t>INV transfery spolkům</t>
  </si>
  <si>
    <t>DH Puškinovo náměstí - zastínění</t>
  </si>
  <si>
    <t>0081382020655</t>
  </si>
  <si>
    <t>Automobil pro zajištění převozu desinfekčních strojů</t>
  </si>
  <si>
    <t>20656</t>
  </si>
  <si>
    <t>2</t>
  </si>
  <si>
    <t>127</t>
  </si>
  <si>
    <t>Automobil pro Pečovatelskou službu</t>
  </si>
  <si>
    <t>19674</t>
  </si>
  <si>
    <t>Generátory ozónu</t>
  </si>
  <si>
    <t>0081467019615</t>
  </si>
  <si>
    <t>Rekonstrukce bytového domu Dejvická 184/4</t>
  </si>
  <si>
    <t>0081466014635</t>
  </si>
  <si>
    <t>0081436000006</t>
  </si>
  <si>
    <t>43 51</t>
  </si>
  <si>
    <t>0081436020656</t>
  </si>
  <si>
    <t>52 13</t>
  </si>
  <si>
    <t>0081436020657</t>
  </si>
  <si>
    <t>0081436017631</t>
  </si>
  <si>
    <t>16614</t>
  </si>
  <si>
    <t>MŠ Libocká  a MŠ Waldorská - Investiční příspěvek</t>
  </si>
  <si>
    <t>ZŠ Pod Marjánkou - Investiční příspěvek (chladící stroj Lenox SYSAQUA)</t>
  </si>
  <si>
    <t>Dispoziční úpravy halových kanceláří OSV a ŽO</t>
  </si>
  <si>
    <t>k 31.12.2020</t>
  </si>
  <si>
    <t>Příloha č. 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</si>
</sst>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\ _z_ł_-;\-* #,##0\ _z_ł_-;_-* &quot;-&quot;\ _z_ł_-;_-@_-"/>
    <numFmt numFmtId="172" formatCode="_-* #,##0.00\ _z_ł_-;\-* #,##0.00\ _z_ł_-;_-* &quot;-&quot;??\ _z_ł_-;_-@_-"/>
    <numFmt numFmtId="173" formatCode="_-&quot;Ł&quot;* #,##0_-;\-&quot;Ł&quot;* #,##0_-;_-&quot;Ł&quot;* &quot;-&quot;_-;_-@_-"/>
    <numFmt numFmtId="174" formatCode="_-&quot;Ł&quot;* #,##0.00_-;\-&quot;Ł&quot;* #,##0.00_-;_-&quot;Ł&quot;* &quot;-&quot;??_-;_-@_-"/>
    <numFmt numFmtId="175" formatCode="#,##0_ ;\-#,##0\ "/>
    <numFmt numFmtId="176" formatCode="[$¥€-2]\ #\ ##,000_);[Red]\([$€-2]\ #\ ##,000\)"/>
  </numFmts>
  <fonts count="5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86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3">
      <alignment/>
      <protection/>
    </xf>
    <xf numFmtId="0" fontId="1" fillId="33" borderId="0" xfId="60" applyFill="1" applyBorder="1">
      <alignment/>
      <protection/>
    </xf>
    <xf numFmtId="0" fontId="4" fillId="33" borderId="0" xfId="60" applyFont="1" applyFill="1" applyBorder="1">
      <alignment/>
      <protection/>
    </xf>
    <xf numFmtId="0" fontId="1" fillId="33" borderId="0" xfId="62" applyFill="1" applyBorder="1">
      <alignment/>
      <protection/>
    </xf>
    <xf numFmtId="0" fontId="1" fillId="0" borderId="0" xfId="60" applyFill="1" applyBorder="1">
      <alignment/>
      <protection/>
    </xf>
    <xf numFmtId="0" fontId="1" fillId="0" borderId="0" xfId="60" applyBorder="1">
      <alignment/>
      <protection/>
    </xf>
    <xf numFmtId="0" fontId="1" fillId="0" borderId="10" xfId="60" applyBorder="1">
      <alignment/>
      <protection/>
    </xf>
    <xf numFmtId="0" fontId="7" fillId="33" borderId="11" xfId="62" applyFont="1" applyFill="1" applyBorder="1">
      <alignment/>
      <protection/>
    </xf>
    <xf numFmtId="0" fontId="7" fillId="33" borderId="12" xfId="62" applyFont="1" applyFill="1" applyBorder="1">
      <alignment/>
      <protection/>
    </xf>
    <xf numFmtId="0" fontId="7" fillId="33" borderId="13" xfId="62" applyFont="1" applyFill="1" applyBorder="1" applyAlignment="1">
      <alignment horizontal="center"/>
      <protection/>
    </xf>
    <xf numFmtId="0" fontId="8" fillId="0" borderId="12" xfId="62" applyFont="1" applyFill="1" applyBorder="1" applyAlignment="1" quotePrefix="1">
      <alignment horizontal="left"/>
      <protection/>
    </xf>
    <xf numFmtId="0" fontId="8" fillId="34" borderId="14" xfId="62" applyFont="1" applyFill="1" applyBorder="1" applyAlignment="1">
      <alignment horizontal="center"/>
      <protection/>
    </xf>
    <xf numFmtId="0" fontId="8" fillId="33" borderId="12" xfId="62" applyFont="1" applyFill="1" applyBorder="1" applyAlignment="1">
      <alignment horizontal="left"/>
      <protection/>
    </xf>
    <xf numFmtId="0" fontId="7" fillId="33" borderId="15" xfId="62" applyFont="1" applyFill="1" applyBorder="1" applyAlignment="1" quotePrefix="1">
      <alignment horizontal="left"/>
      <protection/>
    </xf>
    <xf numFmtId="0" fontId="8" fillId="34" borderId="14" xfId="62" applyFont="1" applyFill="1" applyBorder="1" applyAlignment="1" quotePrefix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49" fontId="8" fillId="33" borderId="17" xfId="62" applyNumberFormat="1" applyFont="1" applyFill="1" applyBorder="1" applyAlignment="1">
      <alignment horizontal="center"/>
      <protection/>
    </xf>
    <xf numFmtId="0" fontId="8" fillId="0" borderId="0" xfId="62" applyFont="1" applyFill="1" applyBorder="1" applyAlignment="1" quotePrefix="1">
      <alignment horizontal="center"/>
      <protection/>
    </xf>
    <xf numFmtId="0" fontId="8" fillId="34" borderId="18" xfId="62" applyFont="1" applyFill="1" applyBorder="1" applyAlignment="1">
      <alignment horizontal="center"/>
      <protection/>
    </xf>
    <xf numFmtId="0" fontId="7" fillId="33" borderId="19" xfId="62" applyFont="1" applyFill="1" applyBorder="1" applyAlignment="1">
      <alignment horizontal="center"/>
      <protection/>
    </xf>
    <xf numFmtId="0" fontId="7" fillId="33" borderId="20" xfId="62" applyFont="1" applyFill="1" applyBorder="1" applyAlignment="1">
      <alignment horizontal="center"/>
      <protection/>
    </xf>
    <xf numFmtId="0" fontId="7" fillId="33" borderId="21" xfId="62" applyFont="1" applyFill="1" applyBorder="1" applyAlignment="1">
      <alignment horizontal="center"/>
      <protection/>
    </xf>
    <xf numFmtId="0" fontId="10" fillId="0" borderId="22" xfId="60" applyFont="1" applyBorder="1" applyAlignment="1">
      <alignment horizontal="center"/>
      <protection/>
    </xf>
    <xf numFmtId="0" fontId="7" fillId="33" borderId="23" xfId="62" applyFont="1" applyFill="1" applyBorder="1" applyAlignment="1">
      <alignment horizontal="left"/>
      <protection/>
    </xf>
    <xf numFmtId="0" fontId="7" fillId="33" borderId="24" xfId="62" applyFont="1" applyFill="1" applyBorder="1" applyAlignment="1">
      <alignment horizontal="left"/>
      <protection/>
    </xf>
    <xf numFmtId="0" fontId="7" fillId="33" borderId="25" xfId="62" applyFont="1" applyFill="1" applyBorder="1" applyAlignment="1">
      <alignment horizontal="left"/>
      <protection/>
    </xf>
    <xf numFmtId="0" fontId="7" fillId="0" borderId="24" xfId="62" applyFont="1" applyFill="1" applyBorder="1" applyAlignment="1">
      <alignment horizontal="left"/>
      <protection/>
    </xf>
    <xf numFmtId="0" fontId="8" fillId="34" borderId="26" xfId="62" applyFont="1" applyFill="1" applyBorder="1" applyAlignment="1">
      <alignment horizontal="center"/>
      <protection/>
    </xf>
    <xf numFmtId="0" fontId="7" fillId="33" borderId="27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14" fontId="8" fillId="34" borderId="26" xfId="62" applyNumberFormat="1" applyFont="1" applyFill="1" applyBorder="1" applyAlignment="1">
      <alignment horizontal="center"/>
      <protection/>
    </xf>
    <xf numFmtId="0" fontId="7" fillId="33" borderId="28" xfId="62" applyFont="1" applyFill="1" applyBorder="1" applyAlignment="1">
      <alignment horizontal="center"/>
      <protection/>
    </xf>
    <xf numFmtId="0" fontId="7" fillId="35" borderId="29" xfId="62" applyFont="1" applyFill="1" applyBorder="1" applyAlignment="1">
      <alignment horizontal="left"/>
      <protection/>
    </xf>
    <xf numFmtId="0" fontId="7" fillId="35" borderId="29" xfId="62" applyFont="1" applyFill="1" applyBorder="1" applyAlignment="1">
      <alignment horizontal="center"/>
      <protection/>
    </xf>
    <xf numFmtId="0" fontId="7" fillId="35" borderId="29" xfId="62" applyFont="1" applyFill="1" applyBorder="1" applyAlignment="1" quotePrefix="1">
      <alignment horizontal="center"/>
      <protection/>
    </xf>
    <xf numFmtId="49" fontId="1" fillId="33" borderId="30" xfId="60" applyNumberFormat="1" applyFill="1" applyBorder="1">
      <alignment/>
      <protection/>
    </xf>
    <xf numFmtId="0" fontId="8" fillId="33" borderId="31" xfId="60" applyFont="1" applyFill="1" applyBorder="1" applyAlignment="1">
      <alignment vertical="center"/>
      <protection/>
    </xf>
    <xf numFmtId="0" fontId="7" fillId="33" borderId="31" xfId="60" applyFont="1" applyFill="1" applyBorder="1" applyAlignment="1">
      <alignment vertical="center"/>
      <protection/>
    </xf>
    <xf numFmtId="0" fontId="8" fillId="33" borderId="32" xfId="60" applyFont="1" applyFill="1" applyBorder="1" applyAlignment="1">
      <alignment vertical="center"/>
      <protection/>
    </xf>
    <xf numFmtId="49" fontId="7" fillId="0" borderId="22" xfId="60" applyNumberFormat="1" applyFont="1" applyBorder="1" applyAlignment="1">
      <alignment horizontal="center"/>
      <protection/>
    </xf>
    <xf numFmtId="0" fontId="7" fillId="33" borderId="26" xfId="60" applyFont="1" applyFill="1" applyBorder="1" applyAlignment="1" quotePrefix="1">
      <alignment horizontal="center"/>
      <protection/>
    </xf>
    <xf numFmtId="0" fontId="7" fillId="33" borderId="33" xfId="60" applyFont="1" applyFill="1" applyBorder="1" applyAlignment="1">
      <alignment horizontal="center"/>
      <protection/>
    </xf>
    <xf numFmtId="164" fontId="7" fillId="33" borderId="34" xfId="62" applyNumberFormat="1" applyFont="1" applyFill="1" applyBorder="1" applyAlignment="1">
      <alignment/>
      <protection/>
    </xf>
    <xf numFmtId="49" fontId="11" fillId="35" borderId="35" xfId="60" applyNumberFormat="1" applyFont="1" applyFill="1" applyBorder="1" applyAlignment="1">
      <alignment horizontal="center"/>
      <protection/>
    </xf>
    <xf numFmtId="0" fontId="7" fillId="35" borderId="36" xfId="60" applyFont="1" applyFill="1" applyBorder="1" applyAlignment="1" quotePrefix="1">
      <alignment horizontal="center"/>
      <protection/>
    </xf>
    <xf numFmtId="0" fontId="7" fillId="35" borderId="0" xfId="60" applyFont="1" applyFill="1" applyBorder="1" applyAlignment="1">
      <alignment horizontal="center"/>
      <protection/>
    </xf>
    <xf numFmtId="0" fontId="7" fillId="35" borderId="0" xfId="60" applyFont="1" applyFill="1" applyBorder="1">
      <alignment/>
      <protection/>
    </xf>
    <xf numFmtId="3" fontId="7" fillId="35" borderId="24" xfId="62" applyNumberFormat="1" applyFont="1" applyFill="1" applyBorder="1" applyAlignment="1">
      <alignment/>
      <protection/>
    </xf>
    <xf numFmtId="164" fontId="7" fillId="35" borderId="31" xfId="62" applyNumberFormat="1" applyFont="1" applyFill="1" applyBorder="1" applyAlignment="1">
      <alignment/>
      <protection/>
    </xf>
    <xf numFmtId="49" fontId="11" fillId="33" borderId="37" xfId="60" applyNumberFormat="1" applyFont="1" applyFill="1" applyBorder="1" applyAlignment="1">
      <alignment horizontal="center"/>
      <protection/>
    </xf>
    <xf numFmtId="0" fontId="8" fillId="33" borderId="38" xfId="60" applyFont="1" applyFill="1" applyBorder="1" applyAlignment="1" quotePrefix="1">
      <alignment horizontal="left" vertical="center"/>
      <protection/>
    </xf>
    <xf numFmtId="0" fontId="7" fillId="33" borderId="39" xfId="60" applyFont="1" applyFill="1" applyBorder="1" applyAlignment="1" quotePrefix="1">
      <alignment horizontal="center"/>
      <protection/>
    </xf>
    <xf numFmtId="3" fontId="7" fillId="35" borderId="0" xfId="62" applyNumberFormat="1" applyFont="1" applyFill="1" applyBorder="1">
      <alignment/>
      <protection/>
    </xf>
    <xf numFmtId="164" fontId="7" fillId="35" borderId="0" xfId="62" applyNumberFormat="1" applyFont="1" applyFill="1" applyBorder="1" applyAlignment="1">
      <alignment/>
      <protection/>
    </xf>
    <xf numFmtId="0" fontId="1" fillId="33" borderId="37" xfId="60" applyFill="1" applyBorder="1" applyAlignment="1">
      <alignment horizontal="center"/>
      <protection/>
    </xf>
    <xf numFmtId="164" fontId="7" fillId="33" borderId="28" xfId="62" applyNumberFormat="1" applyFont="1" applyFill="1" applyBorder="1" applyAlignment="1">
      <alignment/>
      <protection/>
    </xf>
    <xf numFmtId="0" fontId="8" fillId="35" borderId="0" xfId="60" applyFont="1" applyFill="1" applyBorder="1" applyAlignment="1">
      <alignment horizontal="center"/>
      <protection/>
    </xf>
    <xf numFmtId="0" fontId="7" fillId="35" borderId="0" xfId="60" applyFont="1" applyFill="1" applyBorder="1" applyAlignment="1" quotePrefix="1">
      <alignment horizontal="left"/>
      <protection/>
    </xf>
    <xf numFmtId="164" fontId="7" fillId="35" borderId="28" xfId="62" applyNumberFormat="1" applyFont="1" applyFill="1" applyBorder="1" applyAlignment="1">
      <alignment/>
      <protection/>
    </xf>
    <xf numFmtId="164" fontId="7" fillId="35" borderId="40" xfId="62" applyNumberFormat="1" applyFont="1" applyFill="1" applyBorder="1" applyAlignment="1">
      <alignment/>
      <protection/>
    </xf>
    <xf numFmtId="164" fontId="7" fillId="36" borderId="39" xfId="62" applyNumberFormat="1" applyFont="1" applyFill="1" applyBorder="1" applyAlignment="1">
      <alignment vertical="center"/>
      <protection/>
    </xf>
    <xf numFmtId="0" fontId="7" fillId="35" borderId="31" xfId="60" applyFont="1" applyFill="1" applyBorder="1" applyAlignment="1">
      <alignment horizontal="center"/>
      <protection/>
    </xf>
    <xf numFmtId="0" fontId="7" fillId="35" borderId="31" xfId="60" applyFont="1" applyFill="1" applyBorder="1" applyAlignment="1" quotePrefix="1">
      <alignment horizontal="left"/>
      <protection/>
    </xf>
    <xf numFmtId="164" fontId="7" fillId="33" borderId="28" xfId="60" applyNumberFormat="1" applyFont="1" applyFill="1" applyBorder="1" applyAlignment="1">
      <alignment vertical="center"/>
      <protection/>
    </xf>
    <xf numFmtId="0" fontId="7" fillId="35" borderId="31" xfId="60" applyFont="1" applyFill="1" applyBorder="1" applyAlignment="1">
      <alignment horizontal="left" vertical="center"/>
      <protection/>
    </xf>
    <xf numFmtId="164" fontId="7" fillId="35" borderId="31" xfId="62" applyNumberFormat="1" applyFont="1" applyFill="1" applyBorder="1" applyAlignment="1">
      <alignment vertical="center"/>
      <protection/>
    </xf>
    <xf numFmtId="164" fontId="7" fillId="35" borderId="31" xfId="60" applyNumberFormat="1" applyFont="1" applyFill="1" applyBorder="1" applyAlignment="1">
      <alignment vertical="center"/>
      <protection/>
    </xf>
    <xf numFmtId="49" fontId="7" fillId="0" borderId="41" xfId="60" applyNumberFormat="1" applyFont="1" applyBorder="1" applyAlignment="1">
      <alignment horizontal="center"/>
      <protection/>
    </xf>
    <xf numFmtId="164" fontId="7" fillId="35" borderId="24" xfId="62" applyNumberFormat="1" applyFont="1" applyFill="1" applyBorder="1" applyAlignment="1">
      <alignment/>
      <protection/>
    </xf>
    <xf numFmtId="0" fontId="8" fillId="33" borderId="42" xfId="60" applyFont="1" applyFill="1" applyBorder="1" applyAlignment="1" quotePrefix="1">
      <alignment horizontal="left" vertical="center"/>
      <protection/>
    </xf>
    <xf numFmtId="164" fontId="7" fillId="33" borderId="34" xfId="62" applyNumberFormat="1" applyFont="1" applyFill="1" applyBorder="1" applyAlignment="1" quotePrefix="1">
      <alignment/>
      <protection/>
    </xf>
    <xf numFmtId="0" fontId="7" fillId="33" borderId="18" xfId="60" applyFont="1" applyFill="1" applyBorder="1" applyAlignment="1" quotePrefix="1">
      <alignment horizontal="center"/>
      <protection/>
    </xf>
    <xf numFmtId="164" fontId="7" fillId="35" borderId="0" xfId="62" applyNumberFormat="1" applyFont="1" applyFill="1" applyBorder="1" applyAlignment="1">
      <alignment vertical="center"/>
      <protection/>
    </xf>
    <xf numFmtId="0" fontId="7" fillId="33" borderId="33" xfId="60" applyFont="1" applyFill="1" applyBorder="1" applyAlignment="1" quotePrefix="1">
      <alignment horizontal="center" vertical="center"/>
      <protection/>
    </xf>
    <xf numFmtId="0" fontId="7" fillId="0" borderId="40" xfId="60" applyFont="1" applyFill="1" applyBorder="1" applyAlignment="1">
      <alignment horizontal="left" vertical="center"/>
      <protection/>
    </xf>
    <xf numFmtId="164" fontId="7" fillId="33" borderId="34" xfId="62" applyNumberFormat="1" applyFont="1" applyFill="1" applyBorder="1" applyAlignment="1">
      <alignment vertical="center"/>
      <protection/>
    </xf>
    <xf numFmtId="0" fontId="13" fillId="35" borderId="0" xfId="60" applyFont="1" applyFill="1" applyBorder="1">
      <alignment/>
      <protection/>
    </xf>
    <xf numFmtId="0" fontId="1" fillId="33" borderId="43" xfId="60" applyFill="1" applyBorder="1">
      <alignment/>
      <protection/>
    </xf>
    <xf numFmtId="0" fontId="13" fillId="33" borderId="44" xfId="62" applyFont="1" applyFill="1" applyBorder="1">
      <alignment/>
      <protection/>
    </xf>
    <xf numFmtId="0" fontId="7" fillId="33" borderId="44" xfId="62" applyFont="1" applyFill="1" applyBorder="1">
      <alignment/>
      <protection/>
    </xf>
    <xf numFmtId="0" fontId="8" fillId="33" borderId="44" xfId="62" applyFont="1" applyFill="1" applyBorder="1" applyAlignment="1" quotePrefix="1">
      <alignment vertical="center"/>
      <protection/>
    </xf>
    <xf numFmtId="0" fontId="13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0" fontId="8" fillId="33" borderId="0" xfId="62" applyFont="1" applyFill="1" applyBorder="1" applyAlignment="1" quotePrefix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" fontId="7" fillId="33" borderId="0" xfId="62" applyNumberFormat="1" applyFont="1" applyFill="1" applyBorder="1" applyAlignment="1">
      <alignment vertical="center"/>
      <protection/>
    </xf>
    <xf numFmtId="0" fontId="7" fillId="33" borderId="45" xfId="60" applyFont="1" applyFill="1" applyBorder="1" applyAlignment="1" quotePrefix="1">
      <alignment horizontal="center"/>
      <protection/>
    </xf>
    <xf numFmtId="0" fontId="8" fillId="33" borderId="42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 quotePrefix="1">
      <alignment horizontal="center" vertical="center"/>
      <protection/>
    </xf>
    <xf numFmtId="0" fontId="12" fillId="33" borderId="42" xfId="60" applyFont="1" applyFill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/>
      <protection/>
    </xf>
    <xf numFmtId="0" fontId="7" fillId="33" borderId="46" xfId="60" applyFont="1" applyFill="1" applyBorder="1" applyAlignment="1">
      <alignment horizontal="center" vertical="center"/>
      <protection/>
    </xf>
    <xf numFmtId="0" fontId="7" fillId="35" borderId="31" xfId="60" applyFont="1" applyFill="1" applyBorder="1" applyAlignment="1">
      <alignment horizontal="center" vertical="center"/>
      <protection/>
    </xf>
    <xf numFmtId="0" fontId="7" fillId="35" borderId="31" xfId="60" applyFont="1" applyFill="1" applyBorder="1" applyAlignment="1" quotePrefix="1">
      <alignment horizontal="center" vertical="center"/>
      <protection/>
    </xf>
    <xf numFmtId="0" fontId="8" fillId="33" borderId="46" xfId="60" applyFont="1" applyFill="1" applyBorder="1" applyAlignment="1">
      <alignment horizontal="center" vertical="center"/>
      <protection/>
    </xf>
    <xf numFmtId="3" fontId="7" fillId="35" borderId="24" xfId="62" applyNumberFormat="1" applyFont="1" applyFill="1" applyBorder="1" applyAlignment="1">
      <alignment horizontal="center"/>
      <protection/>
    </xf>
    <xf numFmtId="0" fontId="7" fillId="33" borderId="45" xfId="60" applyFont="1" applyFill="1" applyBorder="1" applyAlignment="1">
      <alignment horizontal="center" vertical="center"/>
      <protection/>
    </xf>
    <xf numFmtId="0" fontId="7" fillId="35" borderId="0" xfId="60" applyNumberFormat="1" applyFont="1" applyFill="1" applyBorder="1" applyAlignment="1" quotePrefix="1">
      <alignment horizontal="center"/>
      <protection/>
    </xf>
    <xf numFmtId="0" fontId="8" fillId="33" borderId="42" xfId="60" applyNumberFormat="1" applyFont="1" applyFill="1" applyBorder="1" applyAlignment="1">
      <alignment horizontal="center" vertical="center"/>
      <protection/>
    </xf>
    <xf numFmtId="0" fontId="7" fillId="35" borderId="0" xfId="60" applyNumberFormat="1" applyFont="1" applyFill="1" applyBorder="1" applyAlignment="1">
      <alignment horizontal="center"/>
      <protection/>
    </xf>
    <xf numFmtId="0" fontId="12" fillId="33" borderId="42" xfId="60" applyNumberFormat="1" applyFont="1" applyFill="1" applyBorder="1" applyAlignment="1">
      <alignment horizontal="center" vertical="center"/>
      <protection/>
    </xf>
    <xf numFmtId="0" fontId="7" fillId="35" borderId="31" xfId="60" applyNumberFormat="1" applyFont="1" applyFill="1" applyBorder="1" applyAlignment="1">
      <alignment horizontal="center"/>
      <protection/>
    </xf>
    <xf numFmtId="0" fontId="7" fillId="33" borderId="42" xfId="60" applyNumberFormat="1" applyFont="1" applyFill="1" applyBorder="1" applyAlignment="1">
      <alignment horizontal="center" vertical="center"/>
      <protection/>
    </xf>
    <xf numFmtId="0" fontId="7" fillId="35" borderId="31" xfId="60" applyNumberFormat="1" applyFont="1" applyFill="1" applyBorder="1" applyAlignment="1">
      <alignment horizontal="center" vertical="center"/>
      <protection/>
    </xf>
    <xf numFmtId="0" fontId="7" fillId="33" borderId="34" xfId="60" applyNumberFormat="1" applyFont="1" applyFill="1" applyBorder="1" applyAlignment="1">
      <alignment horizontal="center"/>
      <protection/>
    </xf>
    <xf numFmtId="0" fontId="7" fillId="35" borderId="24" xfId="62" applyNumberFormat="1" applyFont="1" applyFill="1" applyBorder="1" applyAlignment="1">
      <alignment horizontal="center"/>
      <protection/>
    </xf>
    <xf numFmtId="164" fontId="7" fillId="36" borderId="45" xfId="62" applyNumberFormat="1" applyFont="1" applyFill="1" applyBorder="1" applyAlignment="1">
      <alignment/>
      <protection/>
    </xf>
    <xf numFmtId="0" fontId="7" fillId="35" borderId="47" xfId="60" applyFont="1" applyFill="1" applyBorder="1" applyAlignment="1" quotePrefix="1">
      <alignment horizontal="left"/>
      <protection/>
    </xf>
    <xf numFmtId="164" fontId="7" fillId="33" borderId="45" xfId="62" applyNumberFormat="1" applyFont="1" applyFill="1" applyBorder="1" applyAlignment="1">
      <alignment/>
      <protection/>
    </xf>
    <xf numFmtId="164" fontId="7" fillId="33" borderId="23" xfId="62" applyNumberFormat="1" applyFont="1" applyFill="1" applyBorder="1" applyAlignment="1">
      <alignment/>
      <protection/>
    </xf>
    <xf numFmtId="0" fontId="7" fillId="33" borderId="45" xfId="60" applyNumberFormat="1" applyFont="1" applyFill="1" applyBorder="1" applyAlignment="1">
      <alignment horizontal="center"/>
      <protection/>
    </xf>
    <xf numFmtId="164" fontId="7" fillId="37" borderId="26" xfId="62" applyNumberFormat="1" applyFont="1" applyFill="1" applyBorder="1" applyAlignment="1">
      <alignment vertical="center"/>
      <protection/>
    </xf>
    <xf numFmtId="164" fontId="7" fillId="37" borderId="39" xfId="62" applyNumberFormat="1" applyFont="1" applyFill="1" applyBorder="1" applyAlignment="1">
      <alignment vertical="center"/>
      <protection/>
    </xf>
    <xf numFmtId="49" fontId="11" fillId="35" borderId="48" xfId="60" applyNumberFormat="1" applyFont="1" applyFill="1" applyBorder="1" applyAlignment="1">
      <alignment horizontal="center"/>
      <protection/>
    </xf>
    <xf numFmtId="49" fontId="7" fillId="35" borderId="49" xfId="60" applyNumberFormat="1" applyFont="1" applyFill="1" applyBorder="1" applyAlignment="1">
      <alignment horizontal="center"/>
      <protection/>
    </xf>
    <xf numFmtId="164" fontId="7" fillId="33" borderId="45" xfId="62" applyNumberFormat="1" applyFont="1" applyFill="1" applyBorder="1" applyAlignment="1" quotePrefix="1">
      <alignment/>
      <protection/>
    </xf>
    <xf numFmtId="164" fontId="7" fillId="36" borderId="26" xfId="62" applyNumberFormat="1" applyFont="1" applyFill="1" applyBorder="1" applyAlignment="1">
      <alignment/>
      <protection/>
    </xf>
    <xf numFmtId="49" fontId="11" fillId="35" borderId="50" xfId="60" applyNumberFormat="1" applyFont="1" applyFill="1" applyBorder="1" applyAlignment="1">
      <alignment horizontal="center"/>
      <protection/>
    </xf>
    <xf numFmtId="164" fontId="7" fillId="38" borderId="39" xfId="62" applyNumberFormat="1" applyFont="1" applyFill="1" applyBorder="1" applyAlignment="1">
      <alignment vertical="center"/>
      <protection/>
    </xf>
    <xf numFmtId="164" fontId="7" fillId="39" borderId="51" xfId="62" applyNumberFormat="1" applyFont="1" applyFill="1" applyBorder="1" applyAlignment="1">
      <alignment/>
      <protection/>
    </xf>
    <xf numFmtId="164" fontId="7" fillId="39" borderId="33" xfId="62" applyNumberFormat="1" applyFont="1" applyFill="1" applyBorder="1" applyAlignment="1">
      <alignment/>
      <protection/>
    </xf>
    <xf numFmtId="164" fontId="7" fillId="33" borderId="33" xfId="62" applyNumberFormat="1" applyFont="1" applyFill="1" applyBorder="1" applyAlignment="1">
      <alignment/>
      <protection/>
    </xf>
    <xf numFmtId="164" fontId="7" fillId="35" borderId="31" xfId="62" applyNumberFormat="1" applyFont="1" applyFill="1" applyBorder="1">
      <alignment/>
      <protection/>
    </xf>
    <xf numFmtId="164" fontId="7" fillId="35" borderId="0" xfId="60" applyNumberFormat="1" applyFont="1" applyFill="1" applyBorder="1" applyAlignment="1">
      <alignment vertical="center"/>
      <protection/>
    </xf>
    <xf numFmtId="164" fontId="7" fillId="36" borderId="28" xfId="62" applyNumberFormat="1" applyFont="1" applyFill="1" applyBorder="1">
      <alignment/>
      <protection/>
    </xf>
    <xf numFmtId="0" fontId="7" fillId="33" borderId="28" xfId="60" applyNumberFormat="1" applyFont="1" applyFill="1" applyBorder="1" applyAlignment="1">
      <alignment horizontal="center"/>
      <protection/>
    </xf>
    <xf numFmtId="164" fontId="7" fillId="33" borderId="40" xfId="62" applyNumberFormat="1" applyFont="1" applyFill="1" applyBorder="1" applyAlignment="1">
      <alignment/>
      <protection/>
    </xf>
    <xf numFmtId="164" fontId="7" fillId="35" borderId="0" xfId="60" applyNumberFormat="1" applyFont="1" applyFill="1" applyBorder="1">
      <alignment/>
      <protection/>
    </xf>
    <xf numFmtId="164" fontId="7" fillId="35" borderId="24" xfId="62" applyNumberFormat="1" applyFont="1" applyFill="1" applyBorder="1">
      <alignment/>
      <protection/>
    </xf>
    <xf numFmtId="164" fontId="7" fillId="33" borderId="52" xfId="62" applyNumberFormat="1" applyFont="1" applyFill="1" applyBorder="1" applyAlignment="1">
      <alignment/>
      <protection/>
    </xf>
    <xf numFmtId="164" fontId="7" fillId="35" borderId="0" xfId="62" applyNumberFormat="1" applyFont="1" applyFill="1" applyBorder="1" applyAlignment="1" quotePrefix="1">
      <alignment/>
      <protection/>
    </xf>
    <xf numFmtId="164" fontId="7" fillId="35" borderId="47" xfId="62" applyNumberFormat="1" applyFont="1" applyFill="1" applyBorder="1" applyAlignment="1">
      <alignment/>
      <protection/>
    </xf>
    <xf numFmtId="164" fontId="8" fillId="36" borderId="53" xfId="62" applyNumberFormat="1" applyFont="1" applyFill="1" applyBorder="1" applyAlignment="1">
      <alignment vertical="center"/>
      <protection/>
    </xf>
    <xf numFmtId="164" fontId="7" fillId="35" borderId="47" xfId="60" applyNumberFormat="1" applyFont="1" applyFill="1" applyBorder="1" applyAlignment="1">
      <alignment/>
      <protection/>
    </xf>
    <xf numFmtId="164" fontId="7" fillId="35" borderId="27" xfId="62" applyNumberFormat="1" applyFont="1" applyFill="1" applyBorder="1" applyAlignment="1">
      <alignment/>
      <protection/>
    </xf>
    <xf numFmtId="164" fontId="7" fillId="35" borderId="54" xfId="61" applyNumberFormat="1" applyFont="1" applyFill="1" applyBorder="1" applyAlignment="1">
      <alignment/>
      <protection/>
    </xf>
    <xf numFmtId="164" fontId="7" fillId="33" borderId="28" xfId="62" applyNumberFormat="1" applyFont="1" applyFill="1" applyBorder="1" applyAlignment="1">
      <alignment vertical="center"/>
      <protection/>
    </xf>
    <xf numFmtId="164" fontId="7" fillId="33" borderId="33" xfId="62" applyNumberFormat="1" applyFont="1" applyFill="1" applyBorder="1" applyAlignment="1">
      <alignment vertical="center"/>
      <protection/>
    </xf>
    <xf numFmtId="164" fontId="7" fillId="33" borderId="25" xfId="60" applyNumberFormat="1" applyFont="1" applyFill="1" applyBorder="1" applyAlignment="1">
      <alignment vertical="center"/>
      <protection/>
    </xf>
    <xf numFmtId="164" fontId="7" fillId="33" borderId="55" xfId="62" applyNumberFormat="1" applyFont="1" applyFill="1" applyBorder="1" applyAlignment="1">
      <alignment/>
      <protection/>
    </xf>
    <xf numFmtId="164" fontId="7" fillId="33" borderId="25" xfId="62" applyNumberFormat="1" applyFont="1" applyFill="1" applyBorder="1" applyAlignment="1" quotePrefix="1">
      <alignment horizontal="right"/>
      <protection/>
    </xf>
    <xf numFmtId="164" fontId="7" fillId="33" borderId="45" xfId="60" applyNumberFormat="1" applyFont="1" applyFill="1" applyBorder="1" applyAlignment="1">
      <alignment vertical="center"/>
      <protection/>
    </xf>
    <xf numFmtId="164" fontId="7" fillId="33" borderId="40" xfId="60" applyNumberFormat="1" applyFont="1" applyFill="1" applyBorder="1" applyAlignment="1">
      <alignment vertical="center"/>
      <protection/>
    </xf>
    <xf numFmtId="164" fontId="7" fillId="33" borderId="45" xfId="62" applyNumberFormat="1" applyFont="1" applyFill="1" applyBorder="1" applyAlignment="1">
      <alignment vertical="center"/>
      <protection/>
    </xf>
    <xf numFmtId="164" fontId="7" fillId="35" borderId="0" xfId="60" applyNumberFormat="1" applyFont="1" applyFill="1" applyBorder="1" applyAlignment="1">
      <alignment/>
      <protection/>
    </xf>
    <xf numFmtId="164" fontId="8" fillId="36" borderId="56" xfId="62" applyNumberFormat="1" applyFont="1" applyFill="1" applyBorder="1" applyAlignment="1">
      <alignment vertical="center"/>
      <protection/>
    </xf>
    <xf numFmtId="164" fontId="8" fillId="33" borderId="57" xfId="60" applyNumberFormat="1" applyFont="1" applyFill="1" applyBorder="1" applyAlignment="1">
      <alignment vertical="center"/>
      <protection/>
    </xf>
    <xf numFmtId="164" fontId="8" fillId="36" borderId="58" xfId="62" applyNumberFormat="1" applyFont="1" applyFill="1" applyBorder="1" applyAlignment="1">
      <alignment vertical="center"/>
      <protection/>
    </xf>
    <xf numFmtId="164" fontId="8" fillId="33" borderId="59" xfId="60" applyNumberFormat="1" applyFont="1" applyFill="1" applyBorder="1" applyAlignment="1">
      <alignment vertical="center"/>
      <protection/>
    </xf>
    <xf numFmtId="164" fontId="8" fillId="36" borderId="60" xfId="62" applyNumberFormat="1" applyFont="1" applyFill="1" applyBorder="1" applyAlignment="1">
      <alignment vertical="center"/>
      <protection/>
    </xf>
    <xf numFmtId="164" fontId="8" fillId="33" borderId="61" xfId="60" applyNumberFormat="1" applyFont="1" applyFill="1" applyBorder="1" applyAlignment="1">
      <alignment vertical="center"/>
      <protection/>
    </xf>
    <xf numFmtId="164" fontId="8" fillId="33" borderId="60" xfId="62" applyNumberFormat="1" applyFont="1" applyFill="1" applyBorder="1" applyAlignment="1" quotePrefix="1">
      <alignment vertical="center"/>
      <protection/>
    </xf>
    <xf numFmtId="164" fontId="8" fillId="33" borderId="60" xfId="60" applyNumberFormat="1" applyFont="1" applyFill="1" applyBorder="1" applyAlignment="1">
      <alignment vertical="center"/>
      <protection/>
    </xf>
    <xf numFmtId="164" fontId="8" fillId="36" borderId="62" xfId="62" applyNumberFormat="1" applyFont="1" applyFill="1" applyBorder="1" applyAlignment="1">
      <alignment vertical="center"/>
      <protection/>
    </xf>
    <xf numFmtId="164" fontId="8" fillId="33" borderId="63" xfId="62" applyNumberFormat="1" applyFont="1" applyFill="1" applyBorder="1" applyAlignment="1">
      <alignment vertical="center"/>
      <protection/>
    </xf>
    <xf numFmtId="164" fontId="8" fillId="36" borderId="64" xfId="62" applyNumberFormat="1" applyFont="1" applyFill="1" applyBorder="1" applyAlignment="1">
      <alignment vertical="center"/>
      <protection/>
    </xf>
    <xf numFmtId="164" fontId="8" fillId="33" borderId="62" xfId="62" applyNumberFormat="1" applyFont="1" applyFill="1" applyBorder="1" applyAlignment="1">
      <alignment vertical="center"/>
      <protection/>
    </xf>
    <xf numFmtId="164" fontId="8" fillId="33" borderId="59" xfId="62" applyNumberFormat="1" applyFont="1" applyFill="1" applyBorder="1" applyAlignment="1">
      <alignment vertical="center"/>
      <protection/>
    </xf>
    <xf numFmtId="164" fontId="8" fillId="33" borderId="44" xfId="62" applyNumberFormat="1" applyFont="1" applyFill="1" applyBorder="1" applyAlignment="1">
      <alignment vertical="center"/>
      <protection/>
    </xf>
    <xf numFmtId="0" fontId="7" fillId="33" borderId="24" xfId="60" applyNumberFormat="1" applyFont="1" applyFill="1" applyBorder="1" applyAlignment="1">
      <alignment horizontal="center"/>
      <protection/>
    </xf>
    <xf numFmtId="0" fontId="7" fillId="33" borderId="25" xfId="60" applyFont="1" applyFill="1" applyBorder="1" applyAlignment="1">
      <alignment horizontal="center"/>
      <protection/>
    </xf>
    <xf numFmtId="164" fontId="7" fillId="36" borderId="26" xfId="62" applyNumberFormat="1" applyFont="1" applyFill="1" applyBorder="1" applyAlignment="1">
      <alignment vertical="center"/>
      <protection/>
    </xf>
    <xf numFmtId="164" fontId="7" fillId="36" borderId="34" xfId="62" applyNumberFormat="1" applyFont="1" applyFill="1" applyBorder="1" applyAlignment="1">
      <alignment vertical="center"/>
      <protection/>
    </xf>
    <xf numFmtId="164" fontId="7" fillId="33" borderId="34" xfId="60" applyNumberFormat="1" applyFont="1" applyFill="1" applyBorder="1" applyAlignment="1">
      <alignment vertical="center"/>
      <protection/>
    </xf>
    <xf numFmtId="164" fontId="7" fillId="33" borderId="28" xfId="62" applyNumberFormat="1" applyFont="1" applyFill="1" applyBorder="1" applyAlignment="1" quotePrefix="1">
      <alignment/>
      <protection/>
    </xf>
    <xf numFmtId="0" fontId="8" fillId="0" borderId="65" xfId="62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center"/>
      <protection/>
    </xf>
    <xf numFmtId="164" fontId="8" fillId="36" borderId="66" xfId="62" applyNumberFormat="1" applyFont="1" applyFill="1" applyBorder="1" applyAlignment="1">
      <alignment vertical="center"/>
      <protection/>
    </xf>
    <xf numFmtId="164" fontId="7" fillId="36" borderId="67" xfId="62" applyNumberFormat="1" applyFont="1" applyFill="1" applyBorder="1" applyAlignment="1">
      <alignment vertical="center"/>
      <protection/>
    </xf>
    <xf numFmtId="164" fontId="7" fillId="36" borderId="67" xfId="62" applyNumberFormat="1" applyFont="1" applyFill="1" applyBorder="1" applyAlignment="1">
      <alignment vertical="center"/>
      <protection/>
    </xf>
    <xf numFmtId="164" fontId="7" fillId="36" borderId="68" xfId="62" applyNumberFormat="1" applyFont="1" applyFill="1" applyBorder="1">
      <alignment/>
      <protection/>
    </xf>
    <xf numFmtId="164" fontId="7" fillId="36" borderId="67" xfId="62" applyNumberFormat="1" applyFont="1" applyFill="1" applyBorder="1">
      <alignment/>
      <protection/>
    </xf>
    <xf numFmtId="164" fontId="7" fillId="36" borderId="68" xfId="62" applyNumberFormat="1" applyFont="1" applyFill="1" applyBorder="1" applyAlignment="1">
      <alignment vertical="center"/>
      <protection/>
    </xf>
    <xf numFmtId="164" fontId="7" fillId="33" borderId="23" xfId="62" applyNumberFormat="1" applyFont="1" applyFill="1" applyBorder="1" applyAlignment="1" quotePrefix="1">
      <alignment/>
      <protection/>
    </xf>
    <xf numFmtId="0" fontId="7" fillId="0" borderId="52" xfId="60" applyFont="1" applyFill="1" applyBorder="1" applyAlignment="1">
      <alignment horizontal="center"/>
      <protection/>
    </xf>
    <xf numFmtId="0" fontId="7" fillId="0" borderId="33" xfId="60" applyFont="1" applyFill="1" applyBorder="1" applyAlignment="1">
      <alignment horizontal="center"/>
      <protection/>
    </xf>
    <xf numFmtId="0" fontId="7" fillId="0" borderId="20" xfId="60" applyFont="1" applyFill="1" applyBorder="1" applyAlignment="1">
      <alignment horizontal="center"/>
      <protection/>
    </xf>
    <xf numFmtId="0" fontId="7" fillId="0" borderId="55" xfId="60" applyFont="1" applyFill="1" applyBorder="1" applyAlignment="1">
      <alignment horizontal="center"/>
      <protection/>
    </xf>
    <xf numFmtId="0" fontId="7" fillId="0" borderId="17" xfId="60" applyFont="1" applyFill="1" applyBorder="1" applyAlignment="1">
      <alignment horizontal="center"/>
      <protection/>
    </xf>
    <xf numFmtId="0" fontId="7" fillId="33" borderId="69" xfId="60" applyFont="1" applyFill="1" applyBorder="1" applyAlignment="1" quotePrefix="1">
      <alignment horizontal="center"/>
      <protection/>
    </xf>
    <xf numFmtId="0" fontId="7" fillId="33" borderId="21" xfId="60" applyNumberFormat="1" applyFont="1" applyFill="1" applyBorder="1" applyAlignment="1">
      <alignment horizontal="center"/>
      <protection/>
    </xf>
    <xf numFmtId="0" fontId="7" fillId="33" borderId="20" xfId="60" applyFont="1" applyFill="1" applyBorder="1" applyAlignment="1">
      <alignment horizontal="center"/>
      <protection/>
    </xf>
    <xf numFmtId="164" fontId="7" fillId="33" borderId="21" xfId="62" applyNumberFormat="1" applyFont="1" applyFill="1" applyBorder="1" applyAlignment="1">
      <alignment/>
      <protection/>
    </xf>
    <xf numFmtId="164" fontId="7" fillId="36" borderId="70" xfId="62" applyNumberFormat="1" applyFont="1" applyFill="1" applyBorder="1">
      <alignment/>
      <protection/>
    </xf>
    <xf numFmtId="164" fontId="7" fillId="33" borderId="71" xfId="62" applyNumberFormat="1" applyFont="1" applyFill="1" applyBorder="1" applyAlignment="1">
      <alignment/>
      <protection/>
    </xf>
    <xf numFmtId="164" fontId="7" fillId="36" borderId="34" xfId="62" applyNumberFormat="1" applyFont="1" applyFill="1" applyBorder="1">
      <alignment/>
      <protection/>
    </xf>
    <xf numFmtId="164" fontId="7" fillId="33" borderId="72" xfId="62" applyNumberFormat="1" applyFont="1" applyFill="1" applyBorder="1" applyAlignment="1">
      <alignment/>
      <protection/>
    </xf>
    <xf numFmtId="0" fontId="7" fillId="33" borderId="73" xfId="62" applyFont="1" applyFill="1" applyBorder="1" applyAlignment="1">
      <alignment horizontal="center"/>
      <protection/>
    </xf>
    <xf numFmtId="0" fontId="7" fillId="33" borderId="24" xfId="62" applyFont="1" applyFill="1" applyBorder="1" applyAlignment="1">
      <alignment horizontal="center"/>
      <protection/>
    </xf>
    <xf numFmtId="164" fontId="8" fillId="0" borderId="74" xfId="62" applyNumberFormat="1" applyFont="1" applyFill="1" applyBorder="1" applyAlignment="1">
      <alignment vertical="center"/>
      <protection/>
    </xf>
    <xf numFmtId="0" fontId="8" fillId="34" borderId="75" xfId="62" applyFont="1" applyFill="1" applyBorder="1" applyAlignment="1" quotePrefix="1">
      <alignment horizontal="center"/>
      <protection/>
    </xf>
    <xf numFmtId="0" fontId="8" fillId="34" borderId="76" xfId="62" applyFont="1" applyFill="1" applyBorder="1" applyAlignment="1">
      <alignment horizontal="center"/>
      <protection/>
    </xf>
    <xf numFmtId="1" fontId="8" fillId="34" borderId="67" xfId="62" applyNumberFormat="1" applyFont="1" applyFill="1" applyBorder="1" applyAlignment="1">
      <alignment horizontal="center"/>
      <protection/>
    </xf>
    <xf numFmtId="164" fontId="8" fillId="36" borderId="77" xfId="62" applyNumberFormat="1" applyFont="1" applyFill="1" applyBorder="1" applyAlignment="1">
      <alignment vertical="center"/>
      <protection/>
    </xf>
    <xf numFmtId="164" fontId="7" fillId="36" borderId="76" xfId="62" applyNumberFormat="1" applyFont="1" applyFill="1" applyBorder="1">
      <alignment/>
      <protection/>
    </xf>
    <xf numFmtId="164" fontId="7" fillId="36" borderId="68" xfId="62" applyNumberFormat="1" applyFont="1" applyFill="1" applyBorder="1" applyAlignment="1">
      <alignment/>
      <protection/>
    </xf>
    <xf numFmtId="164" fontId="8" fillId="36" borderId="75" xfId="62" applyNumberFormat="1" applyFont="1" applyFill="1" applyBorder="1" applyAlignment="1">
      <alignment vertical="center"/>
      <protection/>
    </xf>
    <xf numFmtId="164" fontId="7" fillId="36" borderId="68" xfId="62" applyNumberFormat="1" applyFont="1" applyFill="1" applyBorder="1" applyAlignment="1">
      <alignment vertical="center"/>
      <protection/>
    </xf>
    <xf numFmtId="164" fontId="7" fillId="36" borderId="52" xfId="61" applyNumberFormat="1" applyFont="1" applyFill="1" applyBorder="1" applyAlignment="1">
      <alignment vertical="center"/>
      <protection/>
    </xf>
    <xf numFmtId="164" fontId="7" fillId="36" borderId="71" xfId="61" applyNumberFormat="1" applyFont="1" applyFill="1" applyBorder="1" applyAlignment="1">
      <alignment vertical="center"/>
      <protection/>
    </xf>
    <xf numFmtId="164" fontId="7" fillId="36" borderId="55" xfId="61" applyNumberFormat="1" applyFont="1" applyFill="1" applyBorder="1" applyAlignment="1">
      <alignment vertical="center"/>
      <protection/>
    </xf>
    <xf numFmtId="164" fontId="8" fillId="36" borderId="38" xfId="62" applyNumberFormat="1" applyFont="1" applyFill="1" applyBorder="1" applyAlignment="1">
      <alignment vertical="center"/>
      <protection/>
    </xf>
    <xf numFmtId="49" fontId="7" fillId="0" borderId="10" xfId="60" applyNumberFormat="1" applyFont="1" applyBorder="1" applyAlignment="1">
      <alignment horizontal="center"/>
      <protection/>
    </xf>
    <xf numFmtId="0" fontId="7" fillId="33" borderId="14" xfId="60" applyFont="1" applyFill="1" applyBorder="1" applyAlignment="1" quotePrefix="1">
      <alignment horizontal="center"/>
      <protection/>
    </xf>
    <xf numFmtId="0" fontId="7" fillId="33" borderId="13" xfId="60" applyFont="1" applyFill="1" applyBorder="1" applyAlignment="1">
      <alignment horizontal="center"/>
      <protection/>
    </xf>
    <xf numFmtId="164" fontId="7" fillId="33" borderId="15" xfId="62" applyNumberFormat="1" applyFont="1" applyFill="1" applyBorder="1" applyAlignment="1">
      <alignment/>
      <protection/>
    </xf>
    <xf numFmtId="0" fontId="7" fillId="0" borderId="40" xfId="60" applyNumberFormat="1" applyFont="1" applyFill="1" applyBorder="1" applyAlignment="1">
      <alignment horizontal="center"/>
      <protection/>
    </xf>
    <xf numFmtId="164" fontId="7" fillId="36" borderId="39" xfId="62" applyNumberFormat="1" applyFont="1" applyFill="1" applyBorder="1" applyAlignment="1">
      <alignment/>
      <protection/>
    </xf>
    <xf numFmtId="0" fontId="7" fillId="33" borderId="40" xfId="60" applyFont="1" applyFill="1" applyBorder="1" applyAlignment="1" quotePrefix="1">
      <alignment horizontal="center"/>
      <protection/>
    </xf>
    <xf numFmtId="164" fontId="7" fillId="33" borderId="45" xfId="60" applyNumberFormat="1" applyFont="1" applyFill="1" applyBorder="1" applyAlignment="1">
      <alignment vertical="center"/>
      <protection/>
    </xf>
    <xf numFmtId="49" fontId="7" fillId="0" borderId="22" xfId="60" applyNumberFormat="1" applyFont="1" applyFill="1" applyBorder="1" applyAlignment="1">
      <alignment horizontal="center"/>
      <protection/>
    </xf>
    <xf numFmtId="49" fontId="7" fillId="0" borderId="16" xfId="60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33" borderId="0" xfId="60" applyFont="1" applyFill="1" applyBorder="1" applyAlignment="1">
      <alignment horizontal="left"/>
      <protection/>
    </xf>
    <xf numFmtId="0" fontId="1" fillId="33" borderId="0" xfId="60" applyFill="1" applyBorder="1" applyAlignment="1" quotePrefix="1">
      <alignment horizontal="left"/>
      <protection/>
    </xf>
    <xf numFmtId="0" fontId="1" fillId="33" borderId="31" xfId="62" applyFill="1" applyBorder="1">
      <alignment/>
      <protection/>
    </xf>
    <xf numFmtId="164" fontId="7" fillId="36" borderId="70" xfId="62" applyNumberFormat="1" applyFont="1" applyFill="1" applyBorder="1" applyAlignment="1">
      <alignment vertical="center"/>
      <protection/>
    </xf>
    <xf numFmtId="164" fontId="7" fillId="33" borderId="23" xfId="60" applyNumberFormat="1" applyFont="1" applyFill="1" applyBorder="1" applyAlignment="1">
      <alignment vertical="center"/>
      <protection/>
    </xf>
    <xf numFmtId="164" fontId="7" fillId="36" borderId="28" xfId="62" applyNumberFormat="1" applyFont="1" applyFill="1" applyBorder="1" applyAlignment="1">
      <alignment vertical="center"/>
      <protection/>
    </xf>
    <xf numFmtId="49" fontId="7" fillId="0" borderId="78" xfId="60" applyNumberFormat="1" applyFont="1" applyFill="1" applyBorder="1" applyAlignment="1">
      <alignment horizontal="center"/>
      <protection/>
    </xf>
    <xf numFmtId="49" fontId="7" fillId="0" borderId="41" xfId="60" applyNumberFormat="1" applyFont="1" applyFill="1" applyBorder="1" applyAlignment="1">
      <alignment horizontal="center"/>
      <protection/>
    </xf>
    <xf numFmtId="49" fontId="7" fillId="0" borderId="79" xfId="60" applyNumberFormat="1" applyFont="1" applyFill="1" applyBorder="1" applyAlignment="1">
      <alignment horizontal="center"/>
      <protection/>
    </xf>
    <xf numFmtId="164" fontId="7" fillId="38" borderId="69" xfId="62" applyNumberFormat="1" applyFont="1" applyFill="1" applyBorder="1" applyAlignment="1">
      <alignment vertical="center"/>
      <protection/>
    </xf>
    <xf numFmtId="164" fontId="7" fillId="36" borderId="70" xfId="62" applyNumberFormat="1" applyFont="1" applyFill="1" applyBorder="1" applyAlignment="1">
      <alignment vertical="center"/>
      <protection/>
    </xf>
    <xf numFmtId="164" fontId="7" fillId="33" borderId="52" xfId="62" applyNumberFormat="1" applyFont="1" applyFill="1" applyBorder="1" applyAlignment="1">
      <alignment vertical="center"/>
      <protection/>
    </xf>
    <xf numFmtId="0" fontId="7" fillId="0" borderId="73" xfId="60" applyNumberFormat="1" applyFont="1" applyFill="1" applyBorder="1" applyAlignment="1">
      <alignment horizontal="center"/>
      <protection/>
    </xf>
    <xf numFmtId="0" fontId="7" fillId="0" borderId="24" xfId="60" applyNumberFormat="1" applyFont="1" applyFill="1" applyBorder="1" applyAlignment="1">
      <alignment horizontal="center"/>
      <protection/>
    </xf>
    <xf numFmtId="0" fontId="7" fillId="0" borderId="80" xfId="60" applyNumberFormat="1" applyFont="1" applyFill="1" applyBorder="1" applyAlignment="1">
      <alignment horizontal="center"/>
      <protection/>
    </xf>
    <xf numFmtId="0" fontId="7" fillId="0" borderId="45" xfId="60" applyNumberFormat="1" applyFont="1" applyFill="1" applyBorder="1" applyAlignment="1">
      <alignment horizontal="center"/>
      <protection/>
    </xf>
    <xf numFmtId="0" fontId="7" fillId="0" borderId="40" xfId="60" applyNumberFormat="1" applyFont="1" applyFill="1" applyBorder="1" applyAlignment="1">
      <alignment horizontal="center" vertical="center"/>
      <protection/>
    </xf>
    <xf numFmtId="0" fontId="7" fillId="0" borderId="34" xfId="60" applyNumberFormat="1" applyFont="1" applyFill="1" applyBorder="1" applyAlignment="1">
      <alignment horizontal="center"/>
      <protection/>
    </xf>
    <xf numFmtId="0" fontId="7" fillId="0" borderId="40" xfId="60" applyNumberFormat="1" applyFont="1" applyFill="1" applyBorder="1" applyAlignment="1">
      <alignment horizontal="center"/>
      <protection/>
    </xf>
    <xf numFmtId="0" fontId="7" fillId="0" borderId="42" xfId="60" applyNumberFormat="1" applyFont="1" applyFill="1" applyBorder="1" applyAlignment="1">
      <alignment horizontal="center" vertical="center"/>
      <protection/>
    </xf>
    <xf numFmtId="0" fontId="7" fillId="40" borderId="0" xfId="60" applyNumberFormat="1" applyFont="1" applyFill="1" applyBorder="1" applyAlignment="1" quotePrefix="1">
      <alignment horizontal="center"/>
      <protection/>
    </xf>
    <xf numFmtId="164" fontId="7" fillId="33" borderId="81" xfId="62" applyNumberFormat="1" applyFont="1" applyFill="1" applyBorder="1" applyAlignment="1">
      <alignment/>
      <protection/>
    </xf>
    <xf numFmtId="0" fontId="7" fillId="35" borderId="47" xfId="60" applyFont="1" applyFill="1" applyBorder="1" applyAlignment="1" quotePrefix="1">
      <alignment horizontal="center"/>
      <protection/>
    </xf>
    <xf numFmtId="49" fontId="11" fillId="35" borderId="49" xfId="60" applyNumberFormat="1" applyFont="1" applyFill="1" applyBorder="1" applyAlignment="1">
      <alignment horizontal="center"/>
      <protection/>
    </xf>
    <xf numFmtId="3" fontId="7" fillId="35" borderId="47" xfId="62" applyNumberFormat="1" applyFont="1" applyFill="1" applyBorder="1" applyAlignment="1">
      <alignment horizontal="center"/>
      <protection/>
    </xf>
    <xf numFmtId="0" fontId="11" fillId="35" borderId="50" xfId="60" applyFont="1" applyFill="1" applyBorder="1" applyAlignment="1">
      <alignment horizontal="center"/>
      <protection/>
    </xf>
    <xf numFmtId="0" fontId="7" fillId="35" borderId="47" xfId="60" applyFont="1" applyFill="1" applyBorder="1" applyAlignment="1">
      <alignment horizontal="center"/>
      <protection/>
    </xf>
    <xf numFmtId="0" fontId="1" fillId="35" borderId="48" xfId="60" applyFont="1" applyFill="1" applyBorder="1">
      <alignment/>
      <protection/>
    </xf>
    <xf numFmtId="164" fontId="7" fillId="41" borderId="45" xfId="62" applyNumberFormat="1" applyFont="1" applyFill="1" applyBorder="1" applyAlignment="1">
      <alignment/>
      <protection/>
    </xf>
    <xf numFmtId="164" fontId="7" fillId="41" borderId="34" xfId="62" applyNumberFormat="1" applyFont="1" applyFill="1" applyBorder="1" applyAlignment="1">
      <alignment/>
      <protection/>
    </xf>
    <xf numFmtId="164" fontId="7" fillId="41" borderId="23" xfId="62" applyNumberFormat="1" applyFont="1" applyFill="1" applyBorder="1" applyAlignment="1">
      <alignment/>
      <protection/>
    </xf>
    <xf numFmtId="164" fontId="7" fillId="41" borderId="28" xfId="62" applyNumberFormat="1" applyFont="1" applyFill="1" applyBorder="1" applyAlignment="1">
      <alignment/>
      <protection/>
    </xf>
    <xf numFmtId="164" fontId="7" fillId="41" borderId="81" xfId="62" applyNumberFormat="1" applyFont="1" applyFill="1" applyBorder="1" applyAlignment="1">
      <alignment/>
      <protection/>
    </xf>
    <xf numFmtId="164" fontId="7" fillId="41" borderId="21" xfId="62" applyNumberFormat="1" applyFont="1" applyFill="1" applyBorder="1" applyAlignment="1">
      <alignment/>
      <protection/>
    </xf>
    <xf numFmtId="164" fontId="7" fillId="41" borderId="11" xfId="62" applyNumberFormat="1" applyFont="1" applyFill="1" applyBorder="1" applyAlignment="1">
      <alignment/>
      <protection/>
    </xf>
    <xf numFmtId="164" fontId="7" fillId="41" borderId="82" xfId="62" applyNumberFormat="1" applyFont="1" applyFill="1" applyBorder="1" applyAlignment="1">
      <alignment/>
      <protection/>
    </xf>
    <xf numFmtId="164" fontId="7" fillId="41" borderId="40" xfId="62" applyNumberFormat="1" applyFont="1" applyFill="1" applyBorder="1" applyAlignment="1">
      <alignment/>
      <protection/>
    </xf>
    <xf numFmtId="164" fontId="7" fillId="41" borderId="73" xfId="62" applyNumberFormat="1" applyFont="1" applyFill="1" applyBorder="1" applyAlignment="1">
      <alignment/>
      <protection/>
    </xf>
    <xf numFmtId="164" fontId="7" fillId="41" borderId="24" xfId="62" applyNumberFormat="1" applyFont="1" applyFill="1" applyBorder="1" applyAlignment="1">
      <alignment/>
      <protection/>
    </xf>
    <xf numFmtId="164" fontId="7" fillId="41" borderId="45" xfId="60" applyNumberFormat="1" applyFont="1" applyFill="1" applyBorder="1" applyAlignment="1">
      <alignment vertical="center"/>
      <protection/>
    </xf>
    <xf numFmtId="164" fontId="7" fillId="41" borderId="34" xfId="60" applyNumberFormat="1" applyFont="1" applyFill="1" applyBorder="1" applyAlignment="1">
      <alignment vertical="center"/>
      <protection/>
    </xf>
    <xf numFmtId="164" fontId="7" fillId="41" borderId="45" xfId="62" applyNumberFormat="1" applyFont="1" applyFill="1" applyBorder="1" applyAlignment="1">
      <alignment vertical="center"/>
      <protection/>
    </xf>
    <xf numFmtId="164" fontId="7" fillId="41" borderId="27" xfId="62" applyNumberFormat="1" applyFont="1" applyFill="1" applyBorder="1" applyAlignment="1">
      <alignment/>
      <protection/>
    </xf>
    <xf numFmtId="164" fontId="7" fillId="41" borderId="83" xfId="62" applyNumberFormat="1" applyFont="1" applyFill="1" applyBorder="1" applyAlignment="1">
      <alignment/>
      <protection/>
    </xf>
    <xf numFmtId="164" fontId="7" fillId="41" borderId="51" xfId="62" applyNumberFormat="1" applyFont="1" applyFill="1" applyBorder="1" applyAlignment="1">
      <alignment/>
      <protection/>
    </xf>
    <xf numFmtId="164" fontId="7" fillId="41" borderId="51" xfId="62" applyNumberFormat="1" applyFont="1" applyFill="1" applyBorder="1" applyAlignment="1">
      <alignment vertical="center"/>
      <protection/>
    </xf>
    <xf numFmtId="164" fontId="7" fillId="41" borderId="34" xfId="62" applyNumberFormat="1" applyFont="1" applyFill="1" applyBorder="1" applyAlignment="1">
      <alignment vertical="center"/>
      <protection/>
    </xf>
    <xf numFmtId="164" fontId="7" fillId="41" borderId="28" xfId="62" applyNumberFormat="1" applyFont="1" applyFill="1" applyBorder="1" applyAlignment="1">
      <alignment vertical="center"/>
      <protection/>
    </xf>
    <xf numFmtId="164" fontId="7" fillId="41" borderId="45" xfId="62" applyNumberFormat="1" applyFont="1" applyFill="1" applyBorder="1" applyAlignment="1" quotePrefix="1">
      <alignment/>
      <protection/>
    </xf>
    <xf numFmtId="164" fontId="7" fillId="41" borderId="34" xfId="62" applyNumberFormat="1" applyFont="1" applyFill="1" applyBorder="1" applyAlignment="1" quotePrefix="1">
      <alignment/>
      <protection/>
    </xf>
    <xf numFmtId="164" fontId="7" fillId="41" borderId="28" xfId="62" applyNumberFormat="1" applyFont="1" applyFill="1" applyBorder="1" applyAlignment="1" quotePrefix="1">
      <alignment/>
      <protection/>
    </xf>
    <xf numFmtId="164" fontId="7" fillId="41" borderId="21" xfId="62" applyNumberFormat="1" applyFont="1" applyFill="1" applyBorder="1" applyAlignment="1" quotePrefix="1">
      <alignment/>
      <protection/>
    </xf>
    <xf numFmtId="164" fontId="7" fillId="41" borderId="33" xfId="61" applyNumberFormat="1" applyFont="1" applyFill="1" applyBorder="1" applyAlignment="1">
      <alignment/>
      <protection/>
    </xf>
    <xf numFmtId="164" fontId="8" fillId="33" borderId="84" xfId="60" applyNumberFormat="1" applyFont="1" applyFill="1" applyBorder="1" applyAlignment="1">
      <alignment vertical="center"/>
      <protection/>
    </xf>
    <xf numFmtId="164" fontId="7" fillId="41" borderId="85" xfId="62" applyNumberFormat="1" applyFont="1" applyFill="1" applyBorder="1" applyAlignment="1">
      <alignment/>
      <protection/>
    </xf>
    <xf numFmtId="164" fontId="7" fillId="41" borderId="19" xfId="62" applyNumberFormat="1" applyFont="1" applyFill="1" applyBorder="1" applyAlignment="1">
      <alignment/>
      <protection/>
    </xf>
    <xf numFmtId="164" fontId="8" fillId="33" borderId="84" xfId="62" applyNumberFormat="1" applyFont="1" applyFill="1" applyBorder="1" applyAlignment="1" quotePrefix="1">
      <alignment vertical="center"/>
      <protection/>
    </xf>
    <xf numFmtId="164" fontId="7" fillId="41" borderId="51" xfId="60" applyNumberFormat="1" applyFont="1" applyFill="1" applyBorder="1" applyAlignment="1">
      <alignment vertical="center"/>
      <protection/>
    </xf>
    <xf numFmtId="164" fontId="7" fillId="41" borderId="27" xfId="62" applyNumberFormat="1" applyFont="1" applyFill="1" applyBorder="1" applyAlignment="1" quotePrefix="1">
      <alignment/>
      <protection/>
    </xf>
    <xf numFmtId="164" fontId="7" fillId="41" borderId="51" xfId="62" applyNumberFormat="1" applyFont="1" applyFill="1" applyBorder="1" applyAlignment="1" quotePrefix="1">
      <alignment/>
      <protection/>
    </xf>
    <xf numFmtId="164" fontId="7" fillId="41" borderId="51" xfId="62" applyNumberFormat="1" applyFont="1" applyFill="1" applyBorder="1" applyAlignment="1" quotePrefix="1">
      <alignment vertical="center"/>
      <protection/>
    </xf>
    <xf numFmtId="0" fontId="0" fillId="0" borderId="0" xfId="0" applyFill="1" applyAlignment="1">
      <alignment/>
    </xf>
    <xf numFmtId="14" fontId="7" fillId="35" borderId="29" xfId="62" applyNumberFormat="1" applyFont="1" applyFill="1" applyBorder="1" applyAlignment="1" quotePrefix="1">
      <alignment horizontal="left"/>
      <protection/>
    </xf>
    <xf numFmtId="164" fontId="7" fillId="35" borderId="86" xfId="62" applyNumberFormat="1" applyFont="1" applyFill="1" applyBorder="1" applyAlignment="1">
      <alignment vertical="center"/>
      <protection/>
    </xf>
    <xf numFmtId="0" fontId="7" fillId="0" borderId="24" xfId="60" applyFont="1" applyBorder="1" applyAlignment="1">
      <alignment horizontal="center"/>
      <protection/>
    </xf>
    <xf numFmtId="164" fontId="7" fillId="41" borderId="28" xfId="60" applyNumberFormat="1" applyFont="1" applyFill="1" applyBorder="1" applyAlignment="1">
      <alignment vertical="center"/>
      <protection/>
    </xf>
    <xf numFmtId="0" fontId="7" fillId="33" borderId="18" xfId="60" applyFont="1" applyFill="1" applyBorder="1" applyAlignment="1">
      <alignment horizontal="center"/>
      <protection/>
    </xf>
    <xf numFmtId="0" fontId="7" fillId="0" borderId="0" xfId="60" applyNumberFormat="1" applyFont="1" applyFill="1" applyBorder="1" applyAlignment="1">
      <alignment horizontal="center"/>
      <protection/>
    </xf>
    <xf numFmtId="0" fontId="7" fillId="0" borderId="17" xfId="60" applyFont="1" applyFill="1" applyBorder="1" applyAlignment="1" quotePrefix="1">
      <alignment horizontal="center"/>
      <protection/>
    </xf>
    <xf numFmtId="164" fontId="7" fillId="36" borderId="76" xfId="62" applyNumberFormat="1" applyFont="1" applyFill="1" applyBorder="1" applyAlignment="1">
      <alignment horizontal="right"/>
      <protection/>
    </xf>
    <xf numFmtId="164" fontId="7" fillId="33" borderId="0" xfId="62" applyNumberFormat="1" applyFont="1" applyFill="1" applyBorder="1" applyAlignment="1">
      <alignment horizontal="right"/>
      <protection/>
    </xf>
    <xf numFmtId="164" fontId="7" fillId="33" borderId="87" xfId="62" applyNumberFormat="1" applyFont="1" applyFill="1" applyBorder="1" applyAlignment="1">
      <alignment horizontal="right"/>
      <protection/>
    </xf>
    <xf numFmtId="164" fontId="7" fillId="33" borderId="72" xfId="62" applyNumberFormat="1" applyFont="1" applyFill="1" applyBorder="1" applyAlignment="1">
      <alignment horizontal="right"/>
      <protection/>
    </xf>
    <xf numFmtId="164" fontId="7" fillId="36" borderId="87" xfId="62" applyNumberFormat="1" applyFont="1" applyFill="1" applyBorder="1" applyAlignment="1">
      <alignment horizontal="right"/>
      <protection/>
    </xf>
    <xf numFmtId="164" fontId="7" fillId="36" borderId="75" xfId="62" applyNumberFormat="1" applyFont="1" applyFill="1" applyBorder="1" applyAlignment="1">
      <alignment horizontal="right"/>
      <protection/>
    </xf>
    <xf numFmtId="164" fontId="7" fillId="41" borderId="45" xfId="62" applyNumberFormat="1" applyFont="1" applyFill="1" applyBorder="1" applyAlignment="1">
      <alignment vertical="center"/>
      <protection/>
    </xf>
    <xf numFmtId="164" fontId="8" fillId="41" borderId="34" xfId="62" applyNumberFormat="1" applyFont="1" applyFill="1" applyBorder="1" applyAlignment="1">
      <alignment vertical="center"/>
      <protection/>
    </xf>
    <xf numFmtId="164" fontId="8" fillId="41" borderId="28" xfId="62" applyNumberFormat="1" applyFont="1" applyFill="1" applyBorder="1" applyAlignment="1">
      <alignment vertical="center"/>
      <protection/>
    </xf>
    <xf numFmtId="164" fontId="7" fillId="41" borderId="34" xfId="60" applyNumberFormat="1" applyFont="1" applyFill="1" applyBorder="1" applyAlignment="1">
      <alignment vertical="center"/>
      <protection/>
    </xf>
    <xf numFmtId="164" fontId="8" fillId="41" borderId="34" xfId="60" applyNumberFormat="1" applyFont="1" applyFill="1" applyBorder="1" applyAlignment="1">
      <alignment vertical="center"/>
      <protection/>
    </xf>
    <xf numFmtId="164" fontId="7" fillId="41" borderId="28" xfId="60" applyNumberFormat="1" applyFont="1" applyFill="1" applyBorder="1" applyAlignment="1">
      <alignment vertical="center"/>
      <protection/>
    </xf>
    <xf numFmtId="164" fontId="8" fillId="41" borderId="28" xfId="60" applyNumberFormat="1" applyFont="1" applyFill="1" applyBorder="1" applyAlignment="1">
      <alignment vertical="center"/>
      <protection/>
    </xf>
    <xf numFmtId="164" fontId="7" fillId="41" borderId="25" xfId="62" applyNumberFormat="1" applyFont="1" applyFill="1" applyBorder="1" applyAlignment="1">
      <alignment/>
      <protection/>
    </xf>
    <xf numFmtId="164" fontId="7" fillId="41" borderId="19" xfId="62" applyNumberFormat="1" applyFont="1" applyFill="1" applyBorder="1" applyAlignment="1">
      <alignment/>
      <protection/>
    </xf>
    <xf numFmtId="164" fontId="7" fillId="41" borderId="51" xfId="62" applyNumberFormat="1" applyFont="1" applyFill="1" applyBorder="1" applyAlignment="1">
      <alignment/>
      <protection/>
    </xf>
    <xf numFmtId="164" fontId="7" fillId="41" borderId="33" xfId="62" applyNumberFormat="1" applyFont="1" applyFill="1" applyBorder="1" applyAlignment="1">
      <alignment/>
      <protection/>
    </xf>
    <xf numFmtId="164" fontId="7" fillId="41" borderId="87" xfId="62" applyNumberFormat="1" applyFont="1" applyFill="1" applyBorder="1" applyAlignment="1">
      <alignment/>
      <protection/>
    </xf>
    <xf numFmtId="164" fontId="7" fillId="41" borderId="25" xfId="60" applyNumberFormat="1" applyFont="1" applyFill="1" applyBorder="1" applyAlignment="1">
      <alignment vertical="center"/>
      <protection/>
    </xf>
    <xf numFmtId="164" fontId="7" fillId="41" borderId="33" xfId="60" applyNumberFormat="1" applyFont="1" applyFill="1" applyBorder="1" applyAlignment="1">
      <alignment vertical="center"/>
      <protection/>
    </xf>
    <xf numFmtId="164" fontId="7" fillId="41" borderId="52" xfId="62" applyNumberFormat="1" applyFont="1" applyFill="1" applyBorder="1" applyAlignment="1">
      <alignment vertical="center"/>
      <protection/>
    </xf>
    <xf numFmtId="164" fontId="7" fillId="41" borderId="27" xfId="62" applyNumberFormat="1" applyFont="1" applyFill="1" applyBorder="1" applyAlignment="1">
      <alignment vertical="center"/>
      <protection/>
    </xf>
    <xf numFmtId="164" fontId="7" fillId="41" borderId="25" xfId="62" applyNumberFormat="1" applyFont="1" applyFill="1" applyBorder="1" applyAlignment="1">
      <alignment vertical="center"/>
      <protection/>
    </xf>
    <xf numFmtId="164" fontId="7" fillId="41" borderId="13" xfId="62" applyNumberFormat="1" applyFont="1" applyFill="1" applyBorder="1" applyAlignment="1" quotePrefix="1">
      <alignment horizontal="right"/>
      <protection/>
    </xf>
    <xf numFmtId="164" fontId="7" fillId="42" borderId="33" xfId="62" applyNumberFormat="1" applyFont="1" applyFill="1" applyBorder="1" applyAlignment="1">
      <alignment/>
      <protection/>
    </xf>
    <xf numFmtId="164" fontId="7" fillId="41" borderId="33" xfId="62" applyNumberFormat="1" applyFont="1" applyFill="1" applyBorder="1" applyAlignment="1">
      <alignment/>
      <protection/>
    </xf>
    <xf numFmtId="0" fontId="7" fillId="33" borderId="39" xfId="60" applyFont="1" applyFill="1" applyBorder="1" applyAlignment="1">
      <alignment horizontal="center"/>
      <protection/>
    </xf>
    <xf numFmtId="0" fontId="7" fillId="33" borderId="88" xfId="60" applyFont="1" applyFill="1" applyBorder="1" applyAlignment="1">
      <alignment horizontal="center"/>
      <protection/>
    </xf>
    <xf numFmtId="164" fontId="7" fillId="41" borderId="52" xfId="62" applyNumberFormat="1" applyFont="1" applyFill="1" applyBorder="1" applyAlignment="1">
      <alignment/>
      <protection/>
    </xf>
    <xf numFmtId="0" fontId="7" fillId="0" borderId="28" xfId="60" applyNumberFormat="1" applyFont="1" applyFill="1" applyBorder="1" applyAlignment="1">
      <alignment horizontal="center"/>
      <protection/>
    </xf>
    <xf numFmtId="164" fontId="8" fillId="36" borderId="68" xfId="62" applyNumberFormat="1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 horizontal="left"/>
      <protection/>
    </xf>
    <xf numFmtId="0" fontId="8" fillId="34" borderId="89" xfId="62" applyFont="1" applyFill="1" applyBorder="1" applyAlignment="1" quotePrefix="1">
      <alignment horizontal="center"/>
      <protection/>
    </xf>
    <xf numFmtId="0" fontId="8" fillId="34" borderId="90" xfId="62" applyFont="1" applyFill="1" applyBorder="1" applyAlignment="1">
      <alignment horizontal="center"/>
      <protection/>
    </xf>
    <xf numFmtId="1" fontId="8" fillId="34" borderId="91" xfId="62" applyNumberFormat="1" applyFont="1" applyFill="1" applyBorder="1" applyAlignment="1">
      <alignment horizontal="center"/>
      <protection/>
    </xf>
    <xf numFmtId="14" fontId="7" fillId="35" borderId="92" xfId="62" applyNumberFormat="1" applyFont="1" applyFill="1" applyBorder="1" applyAlignment="1" quotePrefix="1">
      <alignment horizontal="left"/>
      <protection/>
    </xf>
    <xf numFmtId="10" fontId="6" fillId="0" borderId="90" xfId="63" applyNumberFormat="1" applyFont="1" applyBorder="1">
      <alignment/>
      <protection/>
    </xf>
    <xf numFmtId="0" fontId="1" fillId="0" borderId="89" xfId="63" applyBorder="1">
      <alignment/>
      <protection/>
    </xf>
    <xf numFmtId="0" fontId="1" fillId="0" borderId="90" xfId="63" applyBorder="1">
      <alignment/>
      <protection/>
    </xf>
    <xf numFmtId="164" fontId="7" fillId="35" borderId="93" xfId="62" applyNumberFormat="1" applyFont="1" applyFill="1" applyBorder="1" applyAlignment="1">
      <alignment/>
      <protection/>
    </xf>
    <xf numFmtId="10" fontId="6" fillId="0" borderId="94" xfId="63" applyNumberFormat="1" applyFont="1" applyBorder="1">
      <alignment/>
      <protection/>
    </xf>
    <xf numFmtId="1" fontId="7" fillId="0" borderId="41" xfId="0" applyNumberFormat="1" applyFont="1" applyFill="1" applyBorder="1" applyAlignment="1">
      <alignment horizontal="center"/>
    </xf>
    <xf numFmtId="1" fontId="7" fillId="0" borderId="79" xfId="0" applyNumberFormat="1" applyFont="1" applyFill="1" applyBorder="1" applyAlignment="1">
      <alignment horizontal="center"/>
    </xf>
    <xf numFmtId="164" fontId="7" fillId="35" borderId="93" xfId="62" applyNumberFormat="1" applyFont="1" applyFill="1" applyBorder="1" applyAlignment="1">
      <alignment vertical="center"/>
      <protection/>
    </xf>
    <xf numFmtId="0" fontId="15" fillId="0" borderId="41" xfId="0" applyFont="1" applyFill="1" applyBorder="1" applyAlignment="1">
      <alignment horizontal="center"/>
    </xf>
    <xf numFmtId="0" fontId="1" fillId="0" borderId="90" xfId="60" applyBorder="1">
      <alignment/>
      <protection/>
    </xf>
    <xf numFmtId="0" fontId="15" fillId="0" borderId="79" xfId="0" applyFont="1" applyFill="1" applyBorder="1" applyAlignment="1">
      <alignment horizontal="center"/>
    </xf>
    <xf numFmtId="0" fontId="6" fillId="33" borderId="31" xfId="62" applyFont="1" applyFill="1" applyBorder="1" applyAlignment="1" quotePrefix="1">
      <alignment horizontal="left"/>
      <protection/>
    </xf>
    <xf numFmtId="0" fontId="7" fillId="33" borderId="82" xfId="60" applyNumberFormat="1" applyFont="1" applyFill="1" applyBorder="1" applyAlignment="1">
      <alignment horizontal="center"/>
      <protection/>
    </xf>
    <xf numFmtId="164" fontId="7" fillId="36" borderId="14" xfId="62" applyNumberFormat="1" applyFont="1" applyFill="1" applyBorder="1" applyAlignment="1">
      <alignment/>
      <protection/>
    </xf>
    <xf numFmtId="164" fontId="7" fillId="36" borderId="15" xfId="61" applyNumberFormat="1" applyFont="1" applyFill="1" applyBorder="1" applyAlignment="1">
      <alignment vertical="center"/>
      <protection/>
    </xf>
    <xf numFmtId="0" fontId="15" fillId="0" borderId="41" xfId="0" applyFont="1" applyFill="1" applyBorder="1" applyAlignment="1">
      <alignment horizontal="center" vertical="center"/>
    </xf>
    <xf numFmtId="0" fontId="7" fillId="33" borderId="26" xfId="60" applyFont="1" applyFill="1" applyBorder="1" applyAlignment="1" quotePrefix="1">
      <alignment horizontal="center" vertical="center"/>
      <protection/>
    </xf>
    <xf numFmtId="0" fontId="7" fillId="33" borderId="28" xfId="60" applyNumberFormat="1" applyFont="1" applyFill="1" applyBorder="1" applyAlignment="1">
      <alignment horizontal="center" vertical="center"/>
      <protection/>
    </xf>
    <xf numFmtId="0" fontId="7" fillId="0" borderId="55" xfId="60" applyFont="1" applyFill="1" applyBorder="1" applyAlignment="1">
      <alignment horizontal="center" vertical="center"/>
      <protection/>
    </xf>
    <xf numFmtId="164" fontId="7" fillId="33" borderId="55" xfId="62" applyNumberFormat="1" applyFont="1" applyFill="1" applyBorder="1" applyAlignment="1">
      <alignment vertical="center"/>
      <protection/>
    </xf>
    <xf numFmtId="0" fontId="7" fillId="0" borderId="68" xfId="0" applyFont="1" applyFill="1" applyBorder="1" applyAlignment="1">
      <alignment horizontal="left" vertical="center"/>
    </xf>
    <xf numFmtId="164" fontId="7" fillId="41" borderId="27" xfId="62" applyNumberFormat="1" applyFont="1" applyFill="1" applyBorder="1" applyAlignment="1" quotePrefix="1">
      <alignment vertical="center"/>
      <protection/>
    </xf>
    <xf numFmtId="164" fontId="7" fillId="41" borderId="19" xfId="62" applyNumberFormat="1" applyFont="1" applyFill="1" applyBorder="1" applyAlignment="1" quotePrefix="1">
      <alignment/>
      <protection/>
    </xf>
    <xf numFmtId="164" fontId="7" fillId="41" borderId="87" xfId="62" applyNumberFormat="1" applyFont="1" applyFill="1" applyBorder="1" applyAlignment="1" quotePrefix="1">
      <alignment/>
      <protection/>
    </xf>
    <xf numFmtId="164" fontId="7" fillId="36" borderId="76" xfId="62" applyNumberFormat="1" applyFont="1" applyFill="1" applyBorder="1" applyAlignment="1">
      <alignment vertical="center"/>
      <protection/>
    </xf>
    <xf numFmtId="0" fontId="7" fillId="33" borderId="18" xfId="60" applyFont="1" applyFill="1" applyBorder="1" applyAlignment="1">
      <alignment horizontal="center"/>
      <protection/>
    </xf>
    <xf numFmtId="0" fontId="7" fillId="33" borderId="17" xfId="60" applyFont="1" applyFill="1" applyBorder="1" applyAlignment="1">
      <alignment horizontal="center"/>
      <protection/>
    </xf>
    <xf numFmtId="164" fontId="7" fillId="33" borderId="65" xfId="60" applyNumberFormat="1" applyFont="1" applyFill="1" applyBorder="1" applyAlignment="1">
      <alignment vertical="center"/>
      <protection/>
    </xf>
    <xf numFmtId="164" fontId="7" fillId="33" borderId="87" xfId="60" applyNumberFormat="1" applyFont="1" applyFill="1" applyBorder="1" applyAlignment="1">
      <alignment vertical="center"/>
      <protection/>
    </xf>
    <xf numFmtId="164" fontId="7" fillId="36" borderId="87" xfId="62" applyNumberFormat="1" applyFont="1" applyFill="1" applyBorder="1" applyAlignment="1">
      <alignment vertical="center"/>
      <protection/>
    </xf>
    <xf numFmtId="164" fontId="7" fillId="41" borderId="87" xfId="60" applyNumberFormat="1" applyFont="1" applyFill="1" applyBorder="1" applyAlignment="1">
      <alignment vertical="center"/>
      <protection/>
    </xf>
    <xf numFmtId="164" fontId="8" fillId="41" borderId="87" xfId="60" applyNumberFormat="1" applyFont="1" applyFill="1" applyBorder="1" applyAlignment="1">
      <alignment vertical="center"/>
      <protection/>
    </xf>
    <xf numFmtId="164" fontId="8" fillId="41" borderId="87" xfId="62" applyNumberFormat="1" applyFont="1" applyFill="1" applyBorder="1" applyAlignment="1">
      <alignment vertical="center"/>
      <protection/>
    </xf>
    <xf numFmtId="1" fontId="7" fillId="0" borderId="95" xfId="0" applyNumberFormat="1" applyFont="1" applyFill="1" applyBorder="1" applyAlignment="1">
      <alignment horizontal="center"/>
    </xf>
    <xf numFmtId="164" fontId="7" fillId="38" borderId="14" xfId="62" applyNumberFormat="1" applyFont="1" applyFill="1" applyBorder="1" applyAlignment="1">
      <alignment vertical="center"/>
      <protection/>
    </xf>
    <xf numFmtId="164" fontId="7" fillId="36" borderId="75" xfId="62" applyNumberFormat="1" applyFont="1" applyFill="1" applyBorder="1" applyAlignment="1">
      <alignment vertical="center"/>
      <protection/>
    </xf>
    <xf numFmtId="49" fontId="7" fillId="0" borderId="96" xfId="0" applyNumberFormat="1" applyFont="1" applyFill="1" applyBorder="1" applyAlignment="1">
      <alignment horizontal="center"/>
    </xf>
    <xf numFmtId="164" fontId="7" fillId="35" borderId="47" xfId="62" applyNumberFormat="1" applyFont="1" applyFill="1" applyBorder="1" applyAlignment="1">
      <alignment vertical="center"/>
      <protection/>
    </xf>
    <xf numFmtId="164" fontId="7" fillId="38" borderId="18" xfId="62" applyNumberFormat="1" applyFont="1" applyFill="1" applyBorder="1" applyAlignment="1">
      <alignment vertical="center"/>
      <protection/>
    </xf>
    <xf numFmtId="164" fontId="7" fillId="41" borderId="81" xfId="62" applyNumberFormat="1" applyFont="1" applyFill="1" applyBorder="1" applyAlignment="1" quotePrefix="1">
      <alignment/>
      <protection/>
    </xf>
    <xf numFmtId="164" fontId="7" fillId="41" borderId="23" xfId="62" applyNumberFormat="1" applyFont="1" applyFill="1" applyBorder="1" applyAlignment="1">
      <alignment vertical="center"/>
      <protection/>
    </xf>
    <xf numFmtId="164" fontId="7" fillId="41" borderId="65" xfId="62" applyNumberFormat="1" applyFont="1" applyFill="1" applyBorder="1" applyAlignment="1">
      <alignment horizontal="right"/>
      <protection/>
    </xf>
    <xf numFmtId="164" fontId="7" fillId="41" borderId="23" xfId="60" applyNumberFormat="1" applyFont="1" applyFill="1" applyBorder="1" applyAlignment="1">
      <alignment vertical="center"/>
      <protection/>
    </xf>
    <xf numFmtId="164" fontId="7" fillId="41" borderId="27" xfId="60" applyNumberFormat="1" applyFont="1" applyFill="1" applyBorder="1" applyAlignment="1">
      <alignment vertical="center"/>
      <protection/>
    </xf>
    <xf numFmtId="164" fontId="8" fillId="41" borderId="60" xfId="60" applyNumberFormat="1" applyFont="1" applyFill="1" applyBorder="1" applyAlignment="1">
      <alignment vertical="center"/>
      <protection/>
    </xf>
    <xf numFmtId="164" fontId="8" fillId="41" borderId="61" xfId="60" applyNumberFormat="1" applyFont="1" applyFill="1" applyBorder="1" applyAlignment="1">
      <alignment vertical="center"/>
      <protection/>
    </xf>
    <xf numFmtId="164" fontId="8" fillId="41" borderId="84" xfId="60" applyNumberFormat="1" applyFont="1" applyFill="1" applyBorder="1" applyAlignment="1">
      <alignment vertical="center"/>
      <protection/>
    </xf>
    <xf numFmtId="164" fontId="7" fillId="41" borderId="13" xfId="62" applyNumberFormat="1" applyFont="1" applyFill="1" applyBorder="1" applyAlignment="1" quotePrefix="1">
      <alignment/>
      <protection/>
    </xf>
    <xf numFmtId="164" fontId="7" fillId="41" borderId="34" xfId="61" applyNumberFormat="1" applyFont="1" applyFill="1" applyBorder="1" applyAlignment="1">
      <alignment/>
      <protection/>
    </xf>
    <xf numFmtId="164" fontId="7" fillId="35" borderId="97" xfId="62" applyNumberFormat="1" applyFont="1" applyFill="1" applyBorder="1" applyAlignment="1">
      <alignment vertical="center"/>
      <protection/>
    </xf>
    <xf numFmtId="10" fontId="6" fillId="0" borderId="98" xfId="63" applyNumberFormat="1" applyFont="1" applyBorder="1">
      <alignment/>
      <protection/>
    </xf>
    <xf numFmtId="164" fontId="7" fillId="36" borderId="39" xfId="62" applyNumberFormat="1" applyFont="1" applyFill="1" applyBorder="1" applyAlignment="1">
      <alignment/>
      <protection/>
    </xf>
    <xf numFmtId="164" fontId="7" fillId="41" borderId="13" xfId="62" applyNumberFormat="1" applyFont="1" applyFill="1" applyBorder="1" applyAlignment="1">
      <alignment/>
      <protection/>
    </xf>
    <xf numFmtId="164" fontId="7" fillId="36" borderId="45" xfId="62" applyNumberFormat="1" applyFont="1" applyFill="1" applyBorder="1" applyAlignment="1">
      <alignment vertical="center"/>
      <protection/>
    </xf>
    <xf numFmtId="0" fontId="7" fillId="33" borderId="39" xfId="60" applyFont="1" applyFill="1" applyBorder="1" applyAlignment="1" quotePrefix="1">
      <alignment horizontal="center" vertical="center"/>
      <protection/>
    </xf>
    <xf numFmtId="0" fontId="7" fillId="0" borderId="52" xfId="60" applyFont="1" applyFill="1" applyBorder="1" applyAlignment="1">
      <alignment horizontal="center" vertical="center"/>
      <protection/>
    </xf>
    <xf numFmtId="164" fontId="7" fillId="39" borderId="83" xfId="62" applyNumberFormat="1" applyFont="1" applyFill="1" applyBorder="1" applyAlignment="1">
      <alignment vertical="center"/>
      <protection/>
    </xf>
    <xf numFmtId="164" fontId="7" fillId="39" borderId="17" xfId="62" applyNumberFormat="1" applyFont="1" applyFill="1" applyBorder="1" applyAlignment="1">
      <alignment vertical="center"/>
      <protection/>
    </xf>
    <xf numFmtId="164" fontId="7" fillId="41" borderId="65" xfId="62" applyNumberFormat="1" applyFont="1" applyFill="1" applyBorder="1" applyAlignment="1" quotePrefix="1">
      <alignment vertical="center"/>
      <protection/>
    </xf>
    <xf numFmtId="164" fontId="7" fillId="36" borderId="87" xfId="62" applyNumberFormat="1" applyFont="1" applyFill="1" applyBorder="1">
      <alignment/>
      <protection/>
    </xf>
    <xf numFmtId="164" fontId="7" fillId="41" borderId="88" xfId="62" applyNumberFormat="1" applyFont="1" applyFill="1" applyBorder="1" applyAlignment="1">
      <alignment/>
      <protection/>
    </xf>
    <xf numFmtId="164" fontId="7" fillId="38" borderId="99" xfId="62" applyNumberFormat="1" applyFont="1" applyFill="1" applyBorder="1" applyAlignment="1">
      <alignment vertical="center"/>
      <protection/>
    </xf>
    <xf numFmtId="0" fontId="7" fillId="0" borderId="26" xfId="0" applyFont="1" applyFill="1" applyBorder="1" applyAlignment="1">
      <alignment horizontal="left" vertical="center"/>
    </xf>
    <xf numFmtId="164" fontId="7" fillId="41" borderId="25" xfId="60" applyNumberFormat="1" applyFont="1" applyFill="1" applyBorder="1" applyAlignment="1">
      <alignment vertical="center"/>
      <protection/>
    </xf>
    <xf numFmtId="164" fontId="7" fillId="41" borderId="33" xfId="60" applyNumberFormat="1" applyFont="1" applyFill="1" applyBorder="1" applyAlignment="1">
      <alignment vertical="center"/>
      <protection/>
    </xf>
    <xf numFmtId="164" fontId="7" fillId="41" borderId="17" xfId="60" applyNumberFormat="1" applyFont="1" applyFill="1" applyBorder="1" applyAlignment="1">
      <alignment vertical="center"/>
      <protection/>
    </xf>
    <xf numFmtId="164" fontId="7" fillId="41" borderId="33" xfId="62" applyNumberFormat="1" applyFont="1" applyFill="1" applyBorder="1" applyAlignment="1">
      <alignment vertical="center"/>
      <protection/>
    </xf>
    <xf numFmtId="164" fontId="7" fillId="41" borderId="83" xfId="62" applyNumberFormat="1" applyFont="1" applyFill="1" applyBorder="1" applyAlignment="1">
      <alignment vertical="center"/>
      <protection/>
    </xf>
    <xf numFmtId="164" fontId="7" fillId="41" borderId="17" xfId="62" applyNumberFormat="1" applyFont="1" applyFill="1" applyBorder="1" applyAlignment="1">
      <alignment/>
      <protection/>
    </xf>
    <xf numFmtId="164" fontId="7" fillId="36" borderId="39" xfId="62" applyNumberFormat="1" applyFont="1" applyFill="1" applyBorder="1">
      <alignment/>
      <protection/>
    </xf>
    <xf numFmtId="0" fontId="7" fillId="0" borderId="39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71" xfId="60" applyFont="1" applyFill="1" applyBorder="1" applyAlignment="1">
      <alignment horizontal="center" vertical="center"/>
      <protection/>
    </xf>
    <xf numFmtId="164" fontId="7" fillId="41" borderId="19" xfId="62" applyNumberFormat="1" applyFont="1" applyFill="1" applyBorder="1" applyAlignment="1">
      <alignment vertical="center"/>
      <protection/>
    </xf>
    <xf numFmtId="164" fontId="7" fillId="41" borderId="20" xfId="61" applyNumberFormat="1" applyFont="1" applyFill="1" applyBorder="1" applyAlignment="1">
      <alignment vertical="center"/>
      <protection/>
    </xf>
    <xf numFmtId="164" fontId="7" fillId="41" borderId="20" xfId="62" applyNumberFormat="1" applyFont="1" applyFill="1" applyBorder="1" applyAlignment="1">
      <alignment vertical="center"/>
      <protection/>
    </xf>
    <xf numFmtId="164" fontId="7" fillId="41" borderId="33" xfId="61" applyNumberFormat="1" applyFont="1" applyFill="1" applyBorder="1" applyAlignment="1">
      <alignment vertical="center"/>
      <protection/>
    </xf>
    <xf numFmtId="1" fontId="7" fillId="0" borderId="96" xfId="0" applyNumberFormat="1" applyFont="1" applyFill="1" applyBorder="1" applyAlignment="1">
      <alignment horizontal="center"/>
    </xf>
    <xf numFmtId="164" fontId="7" fillId="36" borderId="69" xfId="62" applyNumberFormat="1" applyFont="1" applyFill="1" applyBorder="1" applyAlignment="1">
      <alignment/>
      <protection/>
    </xf>
    <xf numFmtId="164" fontId="7" fillId="41" borderId="20" xfId="62" applyNumberFormat="1" applyFont="1" applyFill="1" applyBorder="1" applyAlignment="1" quotePrefix="1">
      <alignment/>
      <protection/>
    </xf>
    <xf numFmtId="164" fontId="7" fillId="41" borderId="33" xfId="62" applyNumberFormat="1" applyFont="1" applyFill="1" applyBorder="1" applyAlignment="1" quotePrefix="1">
      <alignment/>
      <protection/>
    </xf>
    <xf numFmtId="0" fontId="15" fillId="0" borderId="39" xfId="0" applyFont="1" applyFill="1" applyBorder="1" applyAlignment="1">
      <alignment vertical="center" wrapText="1"/>
    </xf>
    <xf numFmtId="0" fontId="15" fillId="0" borderId="69" xfId="0" applyFont="1" applyFill="1" applyBorder="1" applyAlignment="1">
      <alignment vertical="center" wrapText="1"/>
    </xf>
    <xf numFmtId="0" fontId="7" fillId="33" borderId="40" xfId="60" applyFont="1" applyFill="1" applyBorder="1" applyAlignment="1" quotePrefix="1">
      <alignment horizontal="center" vertical="center"/>
      <protection/>
    </xf>
    <xf numFmtId="0" fontId="7" fillId="33" borderId="34" xfId="60" applyNumberFormat="1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 quotePrefix="1">
      <alignment horizontal="center" vertical="center"/>
      <protection/>
    </xf>
    <xf numFmtId="1" fontId="7" fillId="0" borderId="100" xfId="0" applyNumberFormat="1" applyFont="1" applyFill="1" applyBorder="1" applyAlignment="1">
      <alignment horizontal="center"/>
    </xf>
    <xf numFmtId="164" fontId="7" fillId="39" borderId="19" xfId="62" applyNumberFormat="1" applyFont="1" applyFill="1" applyBorder="1" applyAlignment="1">
      <alignment/>
      <protection/>
    </xf>
    <xf numFmtId="164" fontId="7" fillId="39" borderId="20" xfId="62" applyNumberFormat="1" applyFont="1" applyFill="1" applyBorder="1" applyAlignment="1">
      <alignment/>
      <protection/>
    </xf>
    <xf numFmtId="0" fontId="15" fillId="0" borderId="79" xfId="0" applyFont="1" applyFill="1" applyBorder="1" applyAlignment="1">
      <alignment horizontal="center" vertical="center"/>
    </xf>
    <xf numFmtId="0" fontId="7" fillId="0" borderId="81" xfId="60" applyNumberFormat="1" applyFont="1" applyFill="1" applyBorder="1" applyAlignment="1">
      <alignment horizontal="center"/>
      <protection/>
    </xf>
    <xf numFmtId="0" fontId="7" fillId="0" borderId="71" xfId="60" applyFont="1" applyFill="1" applyBorder="1" applyAlignment="1">
      <alignment horizontal="center"/>
      <protection/>
    </xf>
    <xf numFmtId="164" fontId="7" fillId="36" borderId="81" xfId="62" applyNumberFormat="1" applyFont="1" applyFill="1" applyBorder="1" applyAlignment="1">
      <alignment/>
      <protection/>
    </xf>
    <xf numFmtId="164" fontId="7" fillId="41" borderId="20" xfId="61" applyNumberFormat="1" applyFont="1" applyFill="1" applyBorder="1" applyAlignment="1">
      <alignment/>
      <protection/>
    </xf>
    <xf numFmtId="164" fontId="7" fillId="36" borderId="70" xfId="62" applyNumberFormat="1" applyFont="1" applyFill="1" applyBorder="1" applyAlignment="1">
      <alignment/>
      <protection/>
    </xf>
    <xf numFmtId="164" fontId="7" fillId="41" borderId="21" xfId="61" applyNumberFormat="1" applyFont="1" applyFill="1" applyBorder="1" applyAlignment="1">
      <alignment/>
      <protection/>
    </xf>
    <xf numFmtId="164" fontId="7" fillId="41" borderId="71" xfId="62" applyNumberFormat="1" applyFont="1" applyFill="1" applyBorder="1" applyAlignment="1">
      <alignment/>
      <protection/>
    </xf>
    <xf numFmtId="0" fontId="7" fillId="0" borderId="23" xfId="60" applyNumberFormat="1" applyFont="1" applyFill="1" applyBorder="1" applyAlignment="1">
      <alignment horizontal="center"/>
      <protection/>
    </xf>
    <xf numFmtId="164" fontId="7" fillId="36" borderId="23" xfId="62" applyNumberFormat="1" applyFont="1" applyFill="1" applyBorder="1" applyAlignment="1">
      <alignment/>
      <protection/>
    </xf>
    <xf numFmtId="164" fontId="7" fillId="41" borderId="25" xfId="61" applyNumberFormat="1" applyFont="1" applyFill="1" applyBorder="1" applyAlignment="1">
      <alignment/>
      <protection/>
    </xf>
    <xf numFmtId="164" fontId="7" fillId="36" borderId="67" xfId="62" applyNumberFormat="1" applyFont="1" applyFill="1" applyBorder="1" applyAlignment="1">
      <alignment/>
      <protection/>
    </xf>
    <xf numFmtId="164" fontId="7" fillId="41" borderId="28" xfId="61" applyNumberFormat="1" applyFont="1" applyFill="1" applyBorder="1" applyAlignment="1">
      <alignment/>
      <protection/>
    </xf>
    <xf numFmtId="164" fontId="7" fillId="41" borderId="55" xfId="62" applyNumberFormat="1" applyFont="1" applyFill="1" applyBorder="1" applyAlignment="1">
      <alignment/>
      <protection/>
    </xf>
    <xf numFmtId="1" fontId="7" fillId="0" borderId="101" xfId="0" applyNumberFormat="1" applyFont="1" applyFill="1" applyBorder="1" applyAlignment="1">
      <alignment horizontal="center"/>
    </xf>
    <xf numFmtId="0" fontId="7" fillId="41" borderId="39" xfId="0" applyFont="1" applyFill="1" applyBorder="1" applyAlignment="1">
      <alignment horizontal="left"/>
    </xf>
    <xf numFmtId="164" fontId="7" fillId="41" borderId="40" xfId="60" applyNumberFormat="1" applyFont="1" applyFill="1" applyBorder="1" applyAlignment="1">
      <alignment vertical="center"/>
      <protection/>
    </xf>
    <xf numFmtId="164" fontId="7" fillId="41" borderId="65" xfId="62" applyNumberFormat="1" applyFont="1" applyFill="1" applyBorder="1" applyAlignment="1">
      <alignment/>
      <protection/>
    </xf>
    <xf numFmtId="164" fontId="7" fillId="33" borderId="81" xfId="62" applyNumberFormat="1" applyFont="1" applyFill="1" applyBorder="1" applyAlignment="1" quotePrefix="1">
      <alignment vertical="center"/>
      <protection/>
    </xf>
    <xf numFmtId="164" fontId="7" fillId="33" borderId="21" xfId="62" applyNumberFormat="1" applyFont="1" applyFill="1" applyBorder="1" applyAlignment="1" quotePrefix="1">
      <alignment vertical="center"/>
      <protection/>
    </xf>
    <xf numFmtId="164" fontId="7" fillId="33" borderId="71" xfId="62" applyNumberFormat="1" applyFont="1" applyFill="1" applyBorder="1" applyAlignment="1">
      <alignment vertical="center"/>
      <protection/>
    </xf>
    <xf numFmtId="164" fontId="7" fillId="36" borderId="21" xfId="62" applyNumberFormat="1" applyFont="1" applyFill="1" applyBorder="1" applyAlignment="1">
      <alignment vertical="center"/>
      <protection/>
    </xf>
    <xf numFmtId="164" fontId="7" fillId="41" borderId="21" xfId="62" applyNumberFormat="1" applyFont="1" applyFill="1" applyBorder="1" applyAlignment="1" quotePrefix="1">
      <alignment vertical="center"/>
      <protection/>
    </xf>
    <xf numFmtId="164" fontId="7" fillId="41" borderId="21" xfId="62" applyNumberFormat="1" applyFont="1" applyFill="1" applyBorder="1" applyAlignment="1">
      <alignment vertical="center"/>
      <protection/>
    </xf>
    <xf numFmtId="164" fontId="7" fillId="41" borderId="17" xfId="62" applyNumberFormat="1" applyFont="1" applyFill="1" applyBorder="1" applyAlignment="1">
      <alignment vertical="center"/>
      <protection/>
    </xf>
    <xf numFmtId="49" fontId="7" fillId="0" borderId="95" xfId="0" applyNumberFormat="1" applyFont="1" applyFill="1" applyBorder="1" applyAlignment="1">
      <alignment horizontal="center" vertical="center"/>
    </xf>
    <xf numFmtId="0" fontId="7" fillId="0" borderId="25" xfId="60" applyFont="1" applyFill="1" applyBorder="1" applyAlignment="1">
      <alignment horizontal="center"/>
      <protection/>
    </xf>
    <xf numFmtId="164" fontId="7" fillId="41" borderId="20" xfId="62" applyNumberFormat="1" applyFont="1" applyFill="1" applyBorder="1" applyAlignment="1">
      <alignment/>
      <protection/>
    </xf>
    <xf numFmtId="164" fontId="7" fillId="36" borderId="69" xfId="62" applyNumberFormat="1" applyFont="1" applyFill="1" applyBorder="1" applyAlignment="1">
      <alignment/>
      <protection/>
    </xf>
    <xf numFmtId="0" fontId="7" fillId="0" borderId="0" xfId="60" applyFont="1" applyBorder="1" applyAlignment="1">
      <alignment horizontal="center"/>
      <protection/>
    </xf>
    <xf numFmtId="0" fontId="7" fillId="0" borderId="87" xfId="60" applyNumberFormat="1" applyFont="1" applyFill="1" applyBorder="1" applyAlignment="1">
      <alignment horizontal="center"/>
      <protection/>
    </xf>
    <xf numFmtId="164" fontId="7" fillId="33" borderId="87" xfId="60" applyNumberFormat="1" applyFont="1" applyFill="1" applyBorder="1" applyAlignment="1">
      <alignment vertical="center"/>
      <protection/>
    </xf>
    <xf numFmtId="164" fontId="7" fillId="33" borderId="17" xfId="60" applyNumberFormat="1" applyFont="1" applyFill="1" applyBorder="1" applyAlignment="1">
      <alignment vertical="center"/>
      <protection/>
    </xf>
    <xf numFmtId="164" fontId="7" fillId="36" borderId="18" xfId="62" applyNumberFormat="1" applyFont="1" applyFill="1" applyBorder="1" applyAlignment="1">
      <alignment vertical="center"/>
      <protection/>
    </xf>
    <xf numFmtId="0" fontId="15" fillId="0" borderId="16" xfId="0" applyFont="1" applyFill="1" applyBorder="1" applyAlignment="1">
      <alignment horizontal="center"/>
    </xf>
    <xf numFmtId="0" fontId="7" fillId="33" borderId="81" xfId="60" applyFont="1" applyFill="1" applyBorder="1" applyAlignment="1" quotePrefix="1">
      <alignment horizontal="center"/>
      <protection/>
    </xf>
    <xf numFmtId="164" fontId="7" fillId="41" borderId="23" xfId="62" applyNumberFormat="1" applyFont="1" applyFill="1" applyBorder="1" applyAlignment="1" quotePrefix="1">
      <alignment/>
      <protection/>
    </xf>
    <xf numFmtId="164" fontId="7" fillId="41" borderId="87" xfId="62" applyNumberFormat="1" applyFont="1" applyFill="1" applyBorder="1" applyAlignment="1" quotePrefix="1">
      <alignment vertical="center"/>
      <protection/>
    </xf>
    <xf numFmtId="164" fontId="7" fillId="41" borderId="40" xfId="62" applyNumberFormat="1" applyFont="1" applyFill="1" applyBorder="1" applyAlignment="1">
      <alignment vertical="center"/>
      <protection/>
    </xf>
    <xf numFmtId="164" fontId="7" fillId="41" borderId="72" xfId="62" applyNumberFormat="1" applyFont="1" applyFill="1" applyBorder="1" applyAlignment="1">
      <alignment/>
      <protection/>
    </xf>
    <xf numFmtId="49" fontId="7" fillId="0" borderId="102" xfId="0" applyNumberFormat="1" applyFont="1" applyFill="1" applyBorder="1" applyAlignment="1">
      <alignment horizontal="center" vertical="center"/>
    </xf>
    <xf numFmtId="0" fontId="7" fillId="0" borderId="12" xfId="60" applyNumberFormat="1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164" fontId="7" fillId="36" borderId="75" xfId="62" applyNumberFormat="1" applyFont="1" applyFill="1" applyBorder="1" applyAlignment="1">
      <alignment vertical="center"/>
      <protection/>
    </xf>
    <xf numFmtId="164" fontId="7" fillId="36" borderId="14" xfId="62" applyNumberFormat="1" applyFont="1" applyFill="1" applyBorder="1" applyAlignment="1">
      <alignment horizontal="right" vertical="center"/>
      <protection/>
    </xf>
    <xf numFmtId="164" fontId="7" fillId="41" borderId="85" xfId="62" applyNumberFormat="1" applyFont="1" applyFill="1" applyBorder="1" applyAlignment="1">
      <alignment vertical="center"/>
      <protection/>
    </xf>
    <xf numFmtId="164" fontId="7" fillId="41" borderId="13" xfId="61" applyNumberFormat="1" applyFont="1" applyFill="1" applyBorder="1" applyAlignment="1">
      <alignment vertical="center"/>
      <protection/>
    </xf>
    <xf numFmtId="164" fontId="7" fillId="41" borderId="82" xfId="61" applyNumberFormat="1" applyFont="1" applyFill="1" applyBorder="1" applyAlignment="1">
      <alignment/>
      <protection/>
    </xf>
    <xf numFmtId="49" fontId="7" fillId="0" borderId="96" xfId="0" applyNumberFormat="1" applyFont="1" applyFill="1" applyBorder="1" applyAlignment="1">
      <alignment horizontal="center" vertical="center"/>
    </xf>
    <xf numFmtId="0" fontId="7" fillId="0" borderId="33" xfId="60" applyFont="1" applyFill="1" applyBorder="1" applyAlignment="1">
      <alignment horizontal="center" vertical="center"/>
      <protection/>
    </xf>
    <xf numFmtId="164" fontId="7" fillId="36" borderId="39" xfId="62" applyNumberFormat="1" applyFont="1" applyFill="1" applyBorder="1" applyAlignment="1">
      <alignment horizontal="right" vertical="center"/>
      <protection/>
    </xf>
    <xf numFmtId="164" fontId="7" fillId="33" borderId="40" xfId="62" applyNumberFormat="1" applyFont="1" applyFill="1" applyBorder="1" applyAlignment="1">
      <alignment/>
      <protection/>
    </xf>
    <xf numFmtId="164" fontId="7" fillId="41" borderId="12" xfId="62" applyNumberFormat="1" applyFont="1" applyFill="1" applyBorder="1" applyAlignment="1">
      <alignment vertical="center"/>
      <protection/>
    </xf>
    <xf numFmtId="164" fontId="7" fillId="41" borderId="72" xfId="62" applyNumberFormat="1" applyFont="1" applyFill="1" applyBorder="1" applyAlignment="1">
      <alignment horizontal="right"/>
      <protection/>
    </xf>
    <xf numFmtId="164" fontId="7" fillId="41" borderId="40" xfId="62" applyNumberFormat="1" applyFont="1" applyFill="1" applyBorder="1" applyAlignment="1">
      <alignment/>
      <protection/>
    </xf>
    <xf numFmtId="164" fontId="7" fillId="41" borderId="23" xfId="62" applyNumberFormat="1" applyFont="1" applyFill="1" applyBorder="1" applyAlignment="1">
      <alignment vertical="center"/>
      <protection/>
    </xf>
    <xf numFmtId="0" fontId="7" fillId="33" borderId="69" xfId="60" applyFont="1" applyFill="1" applyBorder="1" applyAlignment="1">
      <alignment horizontal="center"/>
      <protection/>
    </xf>
    <xf numFmtId="164" fontId="7" fillId="33" borderId="81" xfId="60" applyNumberFormat="1" applyFont="1" applyFill="1" applyBorder="1" applyAlignment="1">
      <alignment vertical="center"/>
      <protection/>
    </xf>
    <xf numFmtId="164" fontId="7" fillId="33" borderId="21" xfId="60" applyNumberFormat="1" applyFont="1" applyFill="1" applyBorder="1" applyAlignment="1">
      <alignment vertical="center"/>
      <protection/>
    </xf>
    <xf numFmtId="164" fontId="7" fillId="36" borderId="21" xfId="62" applyNumberFormat="1" applyFont="1" applyFill="1" applyBorder="1" applyAlignment="1">
      <alignment vertical="center"/>
      <protection/>
    </xf>
    <xf numFmtId="164" fontId="7" fillId="41" borderId="21" xfId="60" applyNumberFormat="1" applyFont="1" applyFill="1" applyBorder="1" applyAlignment="1">
      <alignment vertical="center"/>
      <protection/>
    </xf>
    <xf numFmtId="164" fontId="8" fillId="41" borderId="21" xfId="60" applyNumberFormat="1" applyFont="1" applyFill="1" applyBorder="1" applyAlignment="1">
      <alignment vertical="center"/>
      <protection/>
    </xf>
    <xf numFmtId="164" fontId="7" fillId="41" borderId="20" xfId="60" applyNumberFormat="1" applyFont="1" applyFill="1" applyBorder="1" applyAlignment="1">
      <alignment vertical="center"/>
      <protection/>
    </xf>
    <xf numFmtId="164" fontId="8" fillId="41" borderId="21" xfId="62" applyNumberFormat="1" applyFont="1" applyFill="1" applyBorder="1" applyAlignment="1">
      <alignment vertical="center"/>
      <protection/>
    </xf>
    <xf numFmtId="164" fontId="7" fillId="41" borderId="20" xfId="62" applyNumberFormat="1" applyFont="1" applyFill="1" applyBorder="1" applyAlignment="1">
      <alignment vertical="center"/>
      <protection/>
    </xf>
    <xf numFmtId="164" fontId="7" fillId="42" borderId="20" xfId="62" applyNumberFormat="1" applyFont="1" applyFill="1" applyBorder="1" applyAlignment="1">
      <alignment/>
      <protection/>
    </xf>
    <xf numFmtId="1" fontId="7" fillId="41" borderId="14" xfId="0" applyNumberFormat="1" applyFont="1" applyFill="1" applyBorder="1" applyAlignment="1">
      <alignment horizontal="center" vertical="center"/>
    </xf>
    <xf numFmtId="1" fontId="7" fillId="41" borderId="39" xfId="0" applyNumberFormat="1" applyFont="1" applyFill="1" applyBorder="1" applyAlignment="1">
      <alignment horizontal="center" vertical="center"/>
    </xf>
    <xf numFmtId="1" fontId="7" fillId="41" borderId="69" xfId="0" applyNumberFormat="1" applyFont="1" applyFill="1" applyBorder="1" applyAlignment="1">
      <alignment horizontal="center" vertical="center"/>
    </xf>
    <xf numFmtId="1" fontId="7" fillId="41" borderId="26" xfId="0" applyNumberFormat="1" applyFont="1" applyFill="1" applyBorder="1" applyAlignment="1">
      <alignment horizontal="center"/>
    </xf>
    <xf numFmtId="1" fontId="7" fillId="41" borderId="39" xfId="0" applyNumberFormat="1" applyFont="1" applyFill="1" applyBorder="1" applyAlignment="1">
      <alignment horizontal="center"/>
    </xf>
    <xf numFmtId="1" fontId="7" fillId="41" borderId="69" xfId="0" applyNumberFormat="1" applyFont="1" applyFill="1" applyBorder="1" applyAlignment="1">
      <alignment horizontal="center"/>
    </xf>
    <xf numFmtId="0" fontId="7" fillId="41" borderId="39" xfId="60" applyFont="1" applyFill="1" applyBorder="1" applyAlignment="1" quotePrefix="1">
      <alignment horizontal="center"/>
      <protection/>
    </xf>
    <xf numFmtId="0" fontId="7" fillId="41" borderId="69" xfId="60" applyFont="1" applyFill="1" applyBorder="1" applyAlignment="1" quotePrefix="1">
      <alignment horizontal="center"/>
      <protection/>
    </xf>
    <xf numFmtId="0" fontId="7" fillId="41" borderId="26" xfId="60" applyFont="1" applyFill="1" applyBorder="1" applyAlignment="1" quotePrefix="1">
      <alignment horizontal="center"/>
      <protection/>
    </xf>
    <xf numFmtId="1" fontId="15" fillId="41" borderId="39" xfId="0" applyNumberFormat="1" applyFont="1" applyFill="1" applyBorder="1" applyAlignment="1">
      <alignment horizontal="center" shrinkToFit="1"/>
    </xf>
    <xf numFmtId="0" fontId="7" fillId="41" borderId="67" xfId="0" applyFont="1" applyFill="1" applyBorder="1" applyAlignment="1">
      <alignment horizontal="left" vertical="center"/>
    </xf>
    <xf numFmtId="0" fontId="7" fillId="41" borderId="18" xfId="60" applyFont="1" applyFill="1" applyBorder="1" applyAlignment="1" quotePrefix="1">
      <alignment horizontal="center"/>
      <protection/>
    </xf>
    <xf numFmtId="0" fontId="7" fillId="0" borderId="72" xfId="60" applyFont="1" applyFill="1" applyBorder="1" applyAlignment="1">
      <alignment horizontal="center"/>
      <protection/>
    </xf>
    <xf numFmtId="164" fontId="7" fillId="41" borderId="34" xfId="62" applyNumberFormat="1" applyFont="1" applyFill="1" applyBorder="1" applyAlignment="1">
      <alignment vertical="center"/>
      <protection/>
    </xf>
    <xf numFmtId="164" fontId="7" fillId="41" borderId="21" xfId="62" applyNumberFormat="1" applyFont="1" applyFill="1" applyBorder="1" applyAlignment="1">
      <alignment vertical="center"/>
      <protection/>
    </xf>
    <xf numFmtId="164" fontId="7" fillId="41" borderId="25" xfId="62" applyNumberFormat="1" applyFont="1" applyFill="1" applyBorder="1" applyAlignment="1">
      <alignment vertical="center"/>
      <protection/>
    </xf>
    <xf numFmtId="0" fontId="54" fillId="41" borderId="39" xfId="0" applyFont="1" applyFill="1" applyBorder="1" applyAlignment="1">
      <alignment vertical="center" wrapText="1"/>
    </xf>
    <xf numFmtId="0" fontId="54" fillId="41" borderId="26" xfId="0" applyFont="1" applyFill="1" applyBorder="1" applyAlignment="1">
      <alignment vertical="center" wrapText="1"/>
    </xf>
    <xf numFmtId="164" fontId="7" fillId="36" borderId="34" xfId="62" applyNumberFormat="1" applyFont="1" applyFill="1" applyBorder="1" applyAlignment="1">
      <alignment vertical="center"/>
      <protection/>
    </xf>
    <xf numFmtId="164" fontId="7" fillId="41" borderId="33" xfId="62" applyNumberFormat="1" applyFont="1" applyFill="1" applyBorder="1" applyAlignment="1">
      <alignment vertical="center"/>
      <protection/>
    </xf>
    <xf numFmtId="0" fontId="7" fillId="0" borderId="73" xfId="60" applyNumberFormat="1" applyFont="1" applyFill="1" applyBorder="1" applyAlignment="1">
      <alignment horizontal="center" vertical="center"/>
      <protection/>
    </xf>
    <xf numFmtId="164" fontId="7" fillId="36" borderId="69" xfId="62" applyNumberFormat="1" applyFont="1" applyFill="1" applyBorder="1" applyAlignment="1">
      <alignment horizontal="right" vertical="center"/>
      <protection/>
    </xf>
    <xf numFmtId="164" fontId="7" fillId="36" borderId="65" xfId="62" applyNumberFormat="1" applyFont="1" applyFill="1" applyBorder="1" applyAlignment="1">
      <alignment/>
      <protection/>
    </xf>
    <xf numFmtId="164" fontId="7" fillId="41" borderId="17" xfId="61" applyNumberFormat="1" applyFont="1" applyFill="1" applyBorder="1" applyAlignment="1">
      <alignment/>
      <protection/>
    </xf>
    <xf numFmtId="164" fontId="7" fillId="36" borderId="76" xfId="62" applyNumberFormat="1" applyFont="1" applyFill="1" applyBorder="1" applyAlignment="1">
      <alignment/>
      <protection/>
    </xf>
    <xf numFmtId="164" fontId="7" fillId="41" borderId="87" xfId="61" applyNumberFormat="1" applyFont="1" applyFill="1" applyBorder="1" applyAlignment="1">
      <alignment/>
      <protection/>
    </xf>
    <xf numFmtId="1" fontId="7" fillId="41" borderId="18" xfId="0" applyNumberFormat="1" applyFont="1" applyFill="1" applyBorder="1" applyAlignment="1">
      <alignment horizontal="center"/>
    </xf>
    <xf numFmtId="164" fontId="7" fillId="33" borderId="0" xfId="62" applyNumberFormat="1" applyFont="1" applyFill="1" applyBorder="1" applyAlignment="1">
      <alignment/>
      <protection/>
    </xf>
    <xf numFmtId="164" fontId="7" fillId="41" borderId="83" xfId="62" applyNumberFormat="1" applyFont="1" applyFill="1" applyBorder="1" applyAlignment="1">
      <alignment/>
      <protection/>
    </xf>
    <xf numFmtId="164" fontId="7" fillId="41" borderId="17" xfId="62" applyNumberFormat="1" applyFont="1" applyFill="1" applyBorder="1" applyAlignment="1">
      <alignment/>
      <protection/>
    </xf>
    <xf numFmtId="164" fontId="7" fillId="41" borderId="0" xfId="62" applyNumberFormat="1" applyFont="1" applyFill="1" applyBorder="1" applyAlignment="1">
      <alignment/>
      <protection/>
    </xf>
    <xf numFmtId="164" fontId="7" fillId="33" borderId="73" xfId="62" applyNumberFormat="1" applyFont="1" applyFill="1" applyBorder="1" applyAlignment="1">
      <alignment/>
      <protection/>
    </xf>
    <xf numFmtId="164" fontId="7" fillId="41" borderId="20" xfId="62" applyNumberFormat="1" applyFont="1" applyFill="1" applyBorder="1" applyAlignment="1">
      <alignment/>
      <protection/>
    </xf>
    <xf numFmtId="164" fontId="7" fillId="41" borderId="73" xfId="62" applyNumberFormat="1" applyFont="1" applyFill="1" applyBorder="1" applyAlignment="1">
      <alignment/>
      <protection/>
    </xf>
    <xf numFmtId="164" fontId="7" fillId="41" borderId="20" xfId="60" applyNumberFormat="1" applyFont="1" applyFill="1" applyBorder="1" applyAlignment="1">
      <alignment vertical="center"/>
      <protection/>
    </xf>
    <xf numFmtId="164" fontId="7" fillId="37" borderId="69" xfId="62" applyNumberFormat="1" applyFont="1" applyFill="1" applyBorder="1" applyAlignment="1">
      <alignment vertical="center"/>
      <protection/>
    </xf>
    <xf numFmtId="164" fontId="7" fillId="41" borderId="21" xfId="60" applyNumberFormat="1" applyFont="1" applyFill="1" applyBorder="1" applyAlignment="1">
      <alignment vertical="center"/>
      <protection/>
    </xf>
    <xf numFmtId="164" fontId="7" fillId="41" borderId="19" xfId="60" applyNumberFormat="1" applyFont="1" applyFill="1" applyBorder="1" applyAlignment="1">
      <alignment vertical="center"/>
      <protection/>
    </xf>
    <xf numFmtId="0" fontId="7" fillId="33" borderId="39" xfId="60" applyFont="1" applyFill="1" applyBorder="1" applyAlignment="1">
      <alignment horizontal="center"/>
      <protection/>
    </xf>
    <xf numFmtId="0" fontId="7" fillId="0" borderId="33" xfId="60" applyFont="1" applyFill="1" applyBorder="1" applyAlignment="1" quotePrefix="1">
      <alignment horizontal="center"/>
      <protection/>
    </xf>
    <xf numFmtId="0" fontId="7" fillId="0" borderId="39" xfId="0" applyFont="1" applyFill="1" applyBorder="1" applyAlignment="1">
      <alignment horizontal="left" vertical="center"/>
    </xf>
    <xf numFmtId="164" fontId="7" fillId="33" borderId="33" xfId="62" applyNumberFormat="1" applyFont="1" applyFill="1" applyBorder="1" applyAlignment="1">
      <alignment horizontal="right"/>
      <protection/>
    </xf>
    <xf numFmtId="164" fontId="7" fillId="41" borderId="33" xfId="62" applyNumberFormat="1" applyFont="1" applyFill="1" applyBorder="1" applyAlignment="1">
      <alignment horizontal="right"/>
      <protection/>
    </xf>
    <xf numFmtId="49" fontId="15" fillId="0" borderId="39" xfId="0" applyNumberFormat="1" applyFont="1" applyFill="1" applyBorder="1" applyAlignment="1">
      <alignment vertical="center" wrapText="1"/>
    </xf>
    <xf numFmtId="164" fontId="7" fillId="41" borderId="52" xfId="62" applyNumberFormat="1" applyFont="1" applyFill="1" applyBorder="1" applyAlignment="1" quotePrefix="1">
      <alignment vertical="center"/>
      <protection/>
    </xf>
    <xf numFmtId="164" fontId="7" fillId="41" borderId="55" xfId="62" applyNumberFormat="1" applyFont="1" applyFill="1" applyBorder="1" applyAlignment="1" quotePrefix="1">
      <alignment vertical="center"/>
      <protection/>
    </xf>
    <xf numFmtId="0" fontId="15" fillId="0" borderId="22" xfId="0" applyFont="1" applyFill="1" applyBorder="1" applyAlignment="1">
      <alignment horizontal="center" vertical="center"/>
    </xf>
    <xf numFmtId="0" fontId="7" fillId="33" borderId="25" xfId="60" applyFont="1" applyFill="1" applyBorder="1" applyAlignment="1">
      <alignment horizontal="center" vertical="center"/>
      <protection/>
    </xf>
    <xf numFmtId="164" fontId="7" fillId="41" borderId="19" xfId="62" applyNumberFormat="1" applyFont="1" applyFill="1" applyBorder="1" applyAlignment="1" quotePrefix="1">
      <alignment vertical="center"/>
      <protection/>
    </xf>
    <xf numFmtId="0" fontId="7" fillId="33" borderId="0" xfId="60" applyFont="1" applyFill="1" applyBorder="1" applyAlignment="1" quotePrefix="1">
      <alignment horizontal="center" vertical="center"/>
      <protection/>
    </xf>
    <xf numFmtId="0" fontId="7" fillId="33" borderId="21" xfId="60" applyNumberFormat="1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49" fontId="15" fillId="0" borderId="69" xfId="0" applyNumberFormat="1" applyFont="1" applyFill="1" applyBorder="1" applyAlignment="1">
      <alignment vertical="center" wrapText="1"/>
    </xf>
    <xf numFmtId="0" fontId="15" fillId="0" borderId="78" xfId="0" applyFont="1" applyFill="1" applyBorder="1" applyAlignment="1">
      <alignment horizontal="center"/>
    </xf>
    <xf numFmtId="0" fontId="7" fillId="33" borderId="99" xfId="60" applyFont="1" applyFill="1" applyBorder="1" applyAlignment="1" quotePrefix="1">
      <alignment horizontal="center"/>
      <protection/>
    </xf>
    <xf numFmtId="0" fontId="7" fillId="33" borderId="103" xfId="60" applyNumberFormat="1" applyFont="1" applyFill="1" applyBorder="1" applyAlignment="1">
      <alignment horizontal="center"/>
      <protection/>
    </xf>
    <xf numFmtId="164" fontId="7" fillId="36" borderId="99" xfId="62" applyNumberFormat="1" applyFont="1" applyFill="1" applyBorder="1" applyAlignment="1">
      <alignment/>
      <protection/>
    </xf>
    <xf numFmtId="164" fontId="7" fillId="33" borderId="103" xfId="62" applyNumberFormat="1" applyFont="1" applyFill="1" applyBorder="1" applyAlignment="1">
      <alignment/>
      <protection/>
    </xf>
    <xf numFmtId="164" fontId="7" fillId="33" borderId="104" xfId="62" applyNumberFormat="1" applyFont="1" applyFill="1" applyBorder="1" applyAlignment="1">
      <alignment/>
      <protection/>
    </xf>
    <xf numFmtId="164" fontId="7" fillId="41" borderId="103" xfId="62" applyNumberFormat="1" applyFont="1" applyFill="1" applyBorder="1" applyAlignment="1">
      <alignment/>
      <protection/>
    </xf>
    <xf numFmtId="164" fontId="7" fillId="41" borderId="105" xfId="62" applyNumberFormat="1" applyFont="1" applyFill="1" applyBorder="1" applyAlignment="1">
      <alignment/>
      <protection/>
    </xf>
    <xf numFmtId="164" fontId="7" fillId="41" borderId="88" xfId="62" applyNumberFormat="1" applyFont="1" applyFill="1" applyBorder="1" applyAlignment="1" quotePrefix="1">
      <alignment/>
      <protection/>
    </xf>
    <xf numFmtId="164" fontId="8" fillId="33" borderId="42" xfId="60" applyNumberFormat="1" applyFont="1" applyFill="1" applyBorder="1" applyAlignment="1">
      <alignment vertical="center"/>
      <protection/>
    </xf>
    <xf numFmtId="1" fontId="7" fillId="0" borderId="106" xfId="0" applyNumberFormat="1" applyFont="1" applyFill="1" applyBorder="1" applyAlignment="1">
      <alignment horizontal="center"/>
    </xf>
    <xf numFmtId="1" fontId="7" fillId="0" borderId="95" xfId="0" applyNumberFormat="1" applyFont="1" applyFill="1" applyBorder="1" applyAlignment="1">
      <alignment horizontal="center"/>
    </xf>
    <xf numFmtId="1" fontId="7" fillId="0" borderId="107" xfId="0" applyNumberFormat="1" applyFont="1" applyFill="1" applyBorder="1" applyAlignment="1">
      <alignment horizontal="center"/>
    </xf>
    <xf numFmtId="1" fontId="7" fillId="0" borderId="100" xfId="0" applyNumberFormat="1" applyFont="1" applyFill="1" applyBorder="1" applyAlignment="1">
      <alignment horizontal="center"/>
    </xf>
    <xf numFmtId="49" fontId="7" fillId="0" borderId="106" xfId="0" applyNumberFormat="1" applyFont="1" applyFill="1" applyBorder="1" applyAlignment="1">
      <alignment horizontal="center" vertical="center"/>
    </xf>
    <xf numFmtId="1" fontId="7" fillId="41" borderId="26" xfId="0" applyNumberFormat="1" applyFont="1" applyFill="1" applyBorder="1" applyAlignment="1">
      <alignment horizontal="center" vertical="center"/>
    </xf>
    <xf numFmtId="0" fontId="7" fillId="0" borderId="23" xfId="60" applyNumberFormat="1" applyFont="1" applyFill="1" applyBorder="1" applyAlignment="1">
      <alignment horizontal="center" vertical="center"/>
      <protection/>
    </xf>
    <xf numFmtId="164" fontId="7" fillId="36" borderId="23" xfId="62" applyNumberFormat="1" applyFont="1" applyFill="1" applyBorder="1" applyAlignment="1">
      <alignment vertical="center"/>
      <protection/>
    </xf>
    <xf numFmtId="164" fontId="7" fillId="41" borderId="25" xfId="61" applyNumberFormat="1" applyFont="1" applyFill="1" applyBorder="1" applyAlignment="1">
      <alignment vertical="center"/>
      <protection/>
    </xf>
    <xf numFmtId="164" fontId="7" fillId="41" borderId="28" xfId="61" applyNumberFormat="1" applyFont="1" applyFill="1" applyBorder="1" applyAlignment="1">
      <alignment vertical="center"/>
      <protection/>
    </xf>
    <xf numFmtId="164" fontId="7" fillId="37" borderId="18" xfId="62" applyNumberFormat="1" applyFont="1" applyFill="1" applyBorder="1" applyAlignment="1">
      <alignment vertical="center"/>
      <protection/>
    </xf>
    <xf numFmtId="164" fontId="7" fillId="41" borderId="87" xfId="60" applyNumberFormat="1" applyFont="1" applyFill="1" applyBorder="1" applyAlignment="1">
      <alignment vertical="center"/>
      <protection/>
    </xf>
    <xf numFmtId="164" fontId="7" fillId="41" borderId="83" xfId="60" applyNumberFormat="1" applyFont="1" applyFill="1" applyBorder="1" applyAlignment="1">
      <alignment vertical="center"/>
      <protection/>
    </xf>
    <xf numFmtId="164" fontId="7" fillId="41" borderId="17" xfId="60" applyNumberFormat="1" applyFont="1" applyFill="1" applyBorder="1" applyAlignment="1">
      <alignment vertical="center"/>
      <protection/>
    </xf>
    <xf numFmtId="164" fontId="7" fillId="33" borderId="87" xfId="62" applyNumberFormat="1" applyFont="1" applyFill="1" applyBorder="1" applyAlignment="1">
      <alignment vertical="center"/>
      <protection/>
    </xf>
    <xf numFmtId="164" fontId="7" fillId="41" borderId="65" xfId="62" applyNumberFormat="1" applyFont="1" applyFill="1" applyBorder="1" applyAlignment="1">
      <alignment vertical="center"/>
      <protection/>
    </xf>
    <xf numFmtId="164" fontId="7" fillId="41" borderId="0" xfId="62" applyNumberFormat="1" applyFont="1" applyFill="1" applyBorder="1" applyAlignment="1">
      <alignment horizontal="right"/>
      <protection/>
    </xf>
    <xf numFmtId="0" fontId="7" fillId="0" borderId="45" xfId="60" applyNumberFormat="1" applyFont="1" applyFill="1" applyBorder="1" applyAlignment="1">
      <alignment horizontal="center" vertical="center"/>
      <protection/>
    </xf>
    <xf numFmtId="164" fontId="7" fillId="36" borderId="26" xfId="62" applyNumberFormat="1" applyFont="1" applyFill="1" applyBorder="1" applyAlignment="1">
      <alignment vertical="center"/>
      <protection/>
    </xf>
    <xf numFmtId="0" fontId="7" fillId="0" borderId="18" xfId="0" applyFont="1" applyFill="1" applyBorder="1" applyAlignment="1">
      <alignment horizontal="left" vertical="center"/>
    </xf>
    <xf numFmtId="164" fontId="7" fillId="36" borderId="104" xfId="61" applyNumberFormat="1" applyFont="1" applyFill="1" applyBorder="1" applyAlignment="1">
      <alignment horizontal="right"/>
      <protection/>
    </xf>
    <xf numFmtId="164" fontId="7" fillId="41" borderId="20" xfId="62" applyNumberFormat="1" applyFont="1" applyFill="1" applyBorder="1" applyAlignment="1">
      <alignment horizontal="right"/>
      <protection/>
    </xf>
    <xf numFmtId="164" fontId="7" fillId="42" borderId="17" xfId="62" applyNumberFormat="1" applyFont="1" applyFill="1" applyBorder="1" applyAlignment="1">
      <alignment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0" borderId="24" xfId="60" applyNumberFormat="1" applyFont="1" applyFill="1" applyBorder="1" applyAlignment="1">
      <alignment horizontal="center" vertical="center"/>
      <protection/>
    </xf>
    <xf numFmtId="0" fontId="7" fillId="41" borderId="25" xfId="60" applyFont="1" applyFill="1" applyBorder="1" applyAlignment="1">
      <alignment horizontal="center" vertical="center"/>
      <protection/>
    </xf>
    <xf numFmtId="0" fontId="7" fillId="33" borderId="99" xfId="60" applyFont="1" applyFill="1" applyBorder="1" applyAlignment="1">
      <alignment horizontal="center"/>
      <protection/>
    </xf>
    <xf numFmtId="164" fontId="7" fillId="36" borderId="108" xfId="62" applyNumberFormat="1" applyFont="1" applyFill="1" applyBorder="1" applyAlignment="1">
      <alignment horizontal="right"/>
      <protection/>
    </xf>
    <xf numFmtId="164" fontId="7" fillId="33" borderId="109" xfId="60" applyNumberFormat="1" applyFont="1" applyFill="1" applyBorder="1" applyAlignment="1">
      <alignment horizontal="right"/>
      <protection/>
    </xf>
    <xf numFmtId="164" fontId="7" fillId="33" borderId="103" xfId="60" applyNumberFormat="1" applyFont="1" applyFill="1" applyBorder="1" applyAlignment="1">
      <alignment horizontal="right"/>
      <protection/>
    </xf>
    <xf numFmtId="164" fontId="7" fillId="36" borderId="103" xfId="62" applyNumberFormat="1" applyFont="1" applyFill="1" applyBorder="1" applyAlignment="1">
      <alignment horizontal="right"/>
      <protection/>
    </xf>
    <xf numFmtId="164" fontId="7" fillId="41" borderId="103" xfId="60" applyNumberFormat="1" applyFont="1" applyFill="1" applyBorder="1" applyAlignment="1">
      <alignment horizontal="right"/>
      <protection/>
    </xf>
    <xf numFmtId="164" fontId="8" fillId="41" borderId="103" xfId="60" applyNumberFormat="1" applyFont="1" applyFill="1" applyBorder="1" applyAlignment="1">
      <alignment horizontal="right"/>
      <protection/>
    </xf>
    <xf numFmtId="164" fontId="7" fillId="41" borderId="88" xfId="60" applyNumberFormat="1" applyFont="1" applyFill="1" applyBorder="1" applyAlignment="1">
      <alignment horizontal="right"/>
      <protection/>
    </xf>
    <xf numFmtId="164" fontId="8" fillId="41" borderId="103" xfId="62" applyNumberFormat="1" applyFont="1" applyFill="1" applyBorder="1" applyAlignment="1">
      <alignment horizontal="right"/>
      <protection/>
    </xf>
    <xf numFmtId="164" fontId="7" fillId="41" borderId="88" xfId="62" applyNumberFormat="1" applyFont="1" applyFill="1" applyBorder="1" applyAlignment="1">
      <alignment horizontal="right"/>
      <protection/>
    </xf>
    <xf numFmtId="0" fontId="7" fillId="0" borderId="99" xfId="0" applyFont="1" applyFill="1" applyBorder="1" applyAlignment="1">
      <alignment horizontal="left" vertical="center"/>
    </xf>
    <xf numFmtId="0" fontId="7" fillId="33" borderId="39" xfId="60" applyFont="1" applyFill="1" applyBorder="1" applyAlignment="1">
      <alignment horizontal="center" vertical="center"/>
      <protection/>
    </xf>
    <xf numFmtId="0" fontId="7" fillId="41" borderId="33" xfId="60" applyFont="1" applyFill="1" applyBorder="1" applyAlignment="1">
      <alignment horizontal="center" vertical="center"/>
      <protection/>
    </xf>
    <xf numFmtId="164" fontId="7" fillId="41" borderId="81" xfId="62" applyNumberFormat="1" applyFont="1" applyFill="1" applyBorder="1" applyAlignment="1">
      <alignment vertical="center"/>
      <protection/>
    </xf>
    <xf numFmtId="0" fontId="7" fillId="0" borderId="26" xfId="0" applyFont="1" applyFill="1" applyBorder="1" applyAlignment="1">
      <alignment horizontal="left" vertical="center" wrapText="1"/>
    </xf>
    <xf numFmtId="164" fontId="7" fillId="41" borderId="34" xfId="61" applyNumberFormat="1" applyFont="1" applyFill="1" applyBorder="1" applyAlignment="1">
      <alignment vertical="center"/>
      <protection/>
    </xf>
    <xf numFmtId="164" fontId="7" fillId="36" borderId="39" xfId="62" applyNumberFormat="1" applyFont="1" applyFill="1" applyBorder="1" applyAlignment="1">
      <alignment vertical="center"/>
      <protection/>
    </xf>
    <xf numFmtId="3" fontId="7" fillId="0" borderId="45" xfId="60" applyNumberFormat="1" applyFont="1" applyFill="1" applyBorder="1" applyAlignment="1">
      <alignment horizontal="center"/>
      <protection/>
    </xf>
    <xf numFmtId="1" fontId="7" fillId="0" borderId="25" xfId="60" applyNumberFormat="1" applyFont="1" applyFill="1" applyBorder="1" applyAlignment="1">
      <alignment horizontal="center"/>
      <protection/>
    </xf>
    <xf numFmtId="0" fontId="7" fillId="0" borderId="39" xfId="0" applyFont="1" applyFill="1" applyBorder="1" applyAlignment="1">
      <alignment horizontal="left" vertical="center" wrapText="1"/>
    </xf>
    <xf numFmtId="0" fontId="7" fillId="41" borderId="39" xfId="60" applyFont="1" applyFill="1" applyBorder="1" applyAlignment="1" quotePrefix="1">
      <alignment horizontal="center" vertical="center"/>
      <protection/>
    </xf>
    <xf numFmtId="1" fontId="7" fillId="0" borderId="52" xfId="60" applyNumberFormat="1" applyFont="1" applyFill="1" applyBorder="1" applyAlignment="1">
      <alignment horizontal="center" vertical="center"/>
      <protection/>
    </xf>
    <xf numFmtId="164" fontId="7" fillId="41" borderId="83" xfId="62" applyNumberFormat="1" applyFont="1" applyFill="1" applyBorder="1" applyAlignment="1" quotePrefix="1">
      <alignment vertical="center"/>
      <protection/>
    </xf>
    <xf numFmtId="164" fontId="7" fillId="41" borderId="25" xfId="62" applyNumberFormat="1" applyFont="1" applyFill="1" applyBorder="1" applyAlignment="1" quotePrefix="1">
      <alignment/>
      <protection/>
    </xf>
    <xf numFmtId="0" fontId="7" fillId="0" borderId="110" xfId="0" applyFont="1" applyFill="1" applyBorder="1" applyAlignment="1">
      <alignment horizontal="left" vertical="center"/>
    </xf>
    <xf numFmtId="0" fontId="7" fillId="0" borderId="111" xfId="0" applyFont="1" applyFill="1" applyBorder="1" applyAlignment="1">
      <alignment horizontal="left" vertical="center"/>
    </xf>
    <xf numFmtId="0" fontId="15" fillId="0" borderId="39" xfId="0" applyFont="1" applyBorder="1" applyAlignment="1">
      <alignment/>
    </xf>
    <xf numFmtId="0" fontId="7" fillId="33" borderId="40" xfId="60" applyFont="1" applyFill="1" applyBorder="1" applyAlignment="1">
      <alignment horizontal="center"/>
      <protection/>
    </xf>
    <xf numFmtId="164" fontId="7" fillId="33" borderId="52" xfId="62" applyNumberFormat="1" applyFont="1" applyFill="1" applyBorder="1" applyAlignment="1">
      <alignment horizontal="right"/>
      <protection/>
    </xf>
    <xf numFmtId="164" fontId="7" fillId="41" borderId="52" xfId="62" applyNumberFormat="1" applyFont="1" applyFill="1" applyBorder="1" applyAlignment="1">
      <alignment horizontal="right"/>
      <protection/>
    </xf>
    <xf numFmtId="0" fontId="15" fillId="0" borderId="112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 wrapText="1"/>
    </xf>
    <xf numFmtId="49" fontId="15" fillId="0" borderId="34" xfId="58" applyNumberFormat="1" applyFont="1" applyFill="1" applyBorder="1" applyAlignment="1">
      <alignment vertical="center" wrapText="1"/>
      <protection/>
    </xf>
    <xf numFmtId="0" fontId="15" fillId="0" borderId="110" xfId="0" applyFont="1" applyFill="1" applyBorder="1" applyAlignment="1">
      <alignment vertical="center" wrapText="1"/>
    </xf>
    <xf numFmtId="0" fontId="7" fillId="33" borderId="69" xfId="60" applyFont="1" applyFill="1" applyBorder="1" applyAlignment="1" quotePrefix="1">
      <alignment horizontal="center" vertical="center"/>
      <protection/>
    </xf>
    <xf numFmtId="164" fontId="7" fillId="33" borderId="72" xfId="62" applyNumberFormat="1" applyFont="1" applyFill="1" applyBorder="1" applyAlignment="1">
      <alignment vertical="center"/>
      <protection/>
    </xf>
    <xf numFmtId="164" fontId="7" fillId="41" borderId="87" xfId="62" applyNumberFormat="1" applyFont="1" applyFill="1" applyBorder="1" applyAlignment="1">
      <alignment vertical="center"/>
      <protection/>
    </xf>
    <xf numFmtId="164" fontId="7" fillId="41" borderId="83" xfId="62" applyNumberFormat="1" applyFont="1" applyFill="1" applyBorder="1" applyAlignment="1">
      <alignment vertical="center"/>
      <protection/>
    </xf>
    <xf numFmtId="164" fontId="7" fillId="41" borderId="0" xfId="62" applyNumberFormat="1" applyFont="1" applyFill="1" applyBorder="1" applyAlignment="1" quotePrefix="1">
      <alignment vertical="center"/>
      <protection/>
    </xf>
    <xf numFmtId="49" fontId="7" fillId="0" borderId="22" xfId="60" applyNumberFormat="1" applyFont="1" applyFill="1" applyBorder="1" applyAlignment="1">
      <alignment horizontal="center" vertical="center"/>
      <protection/>
    </xf>
    <xf numFmtId="49" fontId="7" fillId="0" borderId="41" xfId="60" applyNumberFormat="1" applyFont="1" applyFill="1" applyBorder="1" applyAlignment="1">
      <alignment horizontal="center" vertical="center"/>
      <protection/>
    </xf>
    <xf numFmtId="49" fontId="7" fillId="0" borderId="41" xfId="0" applyNumberFormat="1" applyFont="1" applyFill="1" applyBorder="1" applyAlignment="1">
      <alignment horizontal="center"/>
    </xf>
    <xf numFmtId="49" fontId="7" fillId="0" borderId="113" xfId="60" applyNumberFormat="1" applyFont="1" applyFill="1" applyBorder="1" applyAlignment="1">
      <alignment horizontal="center"/>
      <protection/>
    </xf>
    <xf numFmtId="49" fontId="7" fillId="0" borderId="114" xfId="60" applyNumberFormat="1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 horizontal="center"/>
    </xf>
    <xf numFmtId="0" fontId="7" fillId="33" borderId="23" xfId="60" applyFont="1" applyFill="1" applyBorder="1" applyAlignment="1" quotePrefix="1">
      <alignment horizontal="center"/>
      <protection/>
    </xf>
    <xf numFmtId="0" fontId="7" fillId="0" borderId="24" xfId="60" applyNumberFormat="1" applyFont="1" applyFill="1" applyBorder="1" applyAlignment="1">
      <alignment horizontal="center"/>
      <protection/>
    </xf>
    <xf numFmtId="0" fontId="7" fillId="41" borderId="26" xfId="0" applyFont="1" applyFill="1" applyBorder="1" applyAlignment="1">
      <alignment horizontal="left"/>
    </xf>
    <xf numFmtId="164" fontId="7" fillId="38" borderId="26" xfId="62" applyNumberFormat="1" applyFont="1" applyFill="1" applyBorder="1" applyAlignment="1">
      <alignment vertical="center"/>
      <protection/>
    </xf>
    <xf numFmtId="164" fontId="7" fillId="39" borderId="27" xfId="62" applyNumberFormat="1" applyFont="1" applyFill="1" applyBorder="1" applyAlignment="1">
      <alignment/>
      <protection/>
    </xf>
    <xf numFmtId="164" fontId="7" fillId="39" borderId="25" xfId="62" applyNumberFormat="1" applyFont="1" applyFill="1" applyBorder="1" applyAlignment="1">
      <alignment/>
      <protection/>
    </xf>
    <xf numFmtId="164" fontId="7" fillId="42" borderId="25" xfId="62" applyNumberFormat="1" applyFont="1" applyFill="1" applyBorder="1" applyAlignment="1">
      <alignment/>
      <protection/>
    </xf>
    <xf numFmtId="49" fontId="7" fillId="0" borderId="22" xfId="0" applyNumberFormat="1" applyFont="1" applyFill="1" applyBorder="1" applyAlignment="1">
      <alignment horizontal="center"/>
    </xf>
    <xf numFmtId="49" fontId="7" fillId="0" borderId="115" xfId="0" applyNumberFormat="1" applyFont="1" applyFill="1" applyBorder="1" applyAlignment="1">
      <alignment horizontal="center" vertical="center"/>
    </xf>
    <xf numFmtId="1" fontId="7" fillId="41" borderId="115" xfId="0" applyNumberFormat="1" applyFont="1" applyFill="1" applyBorder="1" applyAlignment="1">
      <alignment horizontal="center" vertical="center"/>
    </xf>
    <xf numFmtId="0" fontId="7" fillId="0" borderId="116" xfId="60" applyNumberFormat="1" applyFont="1" applyFill="1" applyBorder="1" applyAlignment="1">
      <alignment horizontal="center" vertical="center"/>
      <protection/>
    </xf>
    <xf numFmtId="0" fontId="7" fillId="0" borderId="117" xfId="60" applyFont="1" applyFill="1" applyBorder="1" applyAlignment="1">
      <alignment horizontal="center" vertical="center"/>
      <protection/>
    </xf>
    <xf numFmtId="0" fontId="7" fillId="0" borderId="112" xfId="0" applyFont="1" applyFill="1" applyBorder="1" applyAlignment="1">
      <alignment horizontal="left" vertical="center"/>
    </xf>
    <xf numFmtId="164" fontId="7" fillId="36" borderId="118" xfId="62" applyNumberFormat="1" applyFont="1" applyFill="1" applyBorder="1" applyAlignment="1">
      <alignment vertical="center"/>
      <protection/>
    </xf>
    <xf numFmtId="164" fontId="7" fillId="41" borderId="119" xfId="62" applyNumberFormat="1" applyFont="1" applyFill="1" applyBorder="1" applyAlignment="1">
      <alignment/>
      <protection/>
    </xf>
    <xf numFmtId="164" fontId="7" fillId="41" borderId="116" xfId="62" applyNumberFormat="1" applyFont="1" applyFill="1" applyBorder="1" applyAlignment="1">
      <alignment/>
      <protection/>
    </xf>
    <xf numFmtId="164" fontId="7" fillId="33" borderId="117" xfId="62" applyNumberFormat="1" applyFont="1" applyFill="1" applyBorder="1" applyAlignment="1">
      <alignment/>
      <protection/>
    </xf>
    <xf numFmtId="49" fontId="7" fillId="0" borderId="120" xfId="0" applyNumberFormat="1" applyFont="1" applyFill="1" applyBorder="1" applyAlignment="1">
      <alignment horizontal="center" vertical="center"/>
    </xf>
    <xf numFmtId="1" fontId="7" fillId="41" borderId="120" xfId="0" applyNumberFormat="1" applyFont="1" applyFill="1" applyBorder="1" applyAlignment="1">
      <alignment horizontal="center" vertical="center"/>
    </xf>
    <xf numFmtId="0" fontId="7" fillId="0" borderId="121" xfId="60" applyNumberFormat="1" applyFont="1" applyFill="1" applyBorder="1" applyAlignment="1">
      <alignment horizontal="center" vertical="center"/>
      <protection/>
    </xf>
    <xf numFmtId="0" fontId="7" fillId="0" borderId="122" xfId="60" applyFont="1" applyFill="1" applyBorder="1" applyAlignment="1">
      <alignment horizontal="center" vertical="center"/>
      <protection/>
    </xf>
    <xf numFmtId="0" fontId="7" fillId="0" borderId="123" xfId="0" applyFont="1" applyFill="1" applyBorder="1" applyAlignment="1">
      <alignment horizontal="left" vertical="center"/>
    </xf>
    <xf numFmtId="164" fontId="7" fillId="36" borderId="124" xfId="62" applyNumberFormat="1" applyFont="1" applyFill="1" applyBorder="1" applyAlignment="1">
      <alignment vertical="center"/>
      <protection/>
    </xf>
    <xf numFmtId="164" fontId="7" fillId="41" borderId="125" xfId="62" applyNumberFormat="1" applyFont="1" applyFill="1" applyBorder="1" applyAlignment="1">
      <alignment/>
      <protection/>
    </xf>
    <xf numFmtId="164" fontId="7" fillId="41" borderId="121" xfId="62" applyNumberFormat="1" applyFont="1" applyFill="1" applyBorder="1" applyAlignment="1">
      <alignment/>
      <protection/>
    </xf>
    <xf numFmtId="164" fontId="7" fillId="33" borderId="122" xfId="62" applyNumberFormat="1" applyFont="1" applyFill="1" applyBorder="1" applyAlignment="1">
      <alignment/>
      <protection/>
    </xf>
    <xf numFmtId="164" fontId="7" fillId="36" borderId="112" xfId="62" applyNumberFormat="1" applyFont="1" applyFill="1" applyBorder="1" applyAlignment="1">
      <alignment vertical="center"/>
      <protection/>
    </xf>
    <xf numFmtId="164" fontId="7" fillId="41" borderId="126" xfId="62" applyNumberFormat="1" applyFont="1" applyFill="1" applyBorder="1" applyAlignment="1">
      <alignment/>
      <protection/>
    </xf>
    <xf numFmtId="164" fontId="7" fillId="41" borderId="127" xfId="62" applyNumberFormat="1" applyFont="1" applyFill="1" applyBorder="1" applyAlignment="1">
      <alignment vertical="center"/>
      <protection/>
    </xf>
    <xf numFmtId="164" fontId="7" fillId="41" borderId="128" xfId="61" applyNumberFormat="1" applyFont="1" applyFill="1" applyBorder="1" applyAlignment="1">
      <alignment vertical="center"/>
      <protection/>
    </xf>
    <xf numFmtId="164" fontId="7" fillId="36" borderId="129" xfId="62" applyNumberFormat="1" applyFont="1" applyFill="1" applyBorder="1" applyAlignment="1">
      <alignment vertical="center"/>
      <protection/>
    </xf>
    <xf numFmtId="164" fontId="7" fillId="41" borderId="130" xfId="61" applyNumberFormat="1" applyFont="1" applyFill="1" applyBorder="1" applyAlignment="1">
      <alignment vertical="center"/>
      <protection/>
    </xf>
    <xf numFmtId="164" fontId="7" fillId="41" borderId="128" xfId="62" applyNumberFormat="1" applyFont="1" applyFill="1" applyBorder="1" applyAlignment="1">
      <alignment vertical="center"/>
      <protection/>
    </xf>
    <xf numFmtId="164" fontId="7" fillId="36" borderId="123" xfId="62" applyNumberFormat="1" applyFont="1" applyFill="1" applyBorder="1" applyAlignment="1">
      <alignment vertical="center"/>
      <protection/>
    </xf>
    <xf numFmtId="164" fontId="7" fillId="41" borderId="131" xfId="62" applyNumberFormat="1" applyFont="1" applyFill="1" applyBorder="1" applyAlignment="1">
      <alignment/>
      <protection/>
    </xf>
    <xf numFmtId="164" fontId="7" fillId="41" borderId="132" xfId="62" applyNumberFormat="1" applyFont="1" applyFill="1" applyBorder="1" applyAlignment="1">
      <alignment vertical="center"/>
      <protection/>
    </xf>
    <xf numFmtId="164" fontId="7" fillId="41" borderId="133" xfId="61" applyNumberFormat="1" applyFont="1" applyFill="1" applyBorder="1" applyAlignment="1">
      <alignment vertical="center"/>
      <protection/>
    </xf>
    <xf numFmtId="164" fontId="7" fillId="36" borderId="134" xfId="62" applyNumberFormat="1" applyFont="1" applyFill="1" applyBorder="1" applyAlignment="1">
      <alignment vertical="center"/>
      <protection/>
    </xf>
    <xf numFmtId="164" fontId="7" fillId="41" borderId="135" xfId="61" applyNumberFormat="1" applyFont="1" applyFill="1" applyBorder="1" applyAlignment="1">
      <alignment vertical="center"/>
      <protection/>
    </xf>
    <xf numFmtId="164" fontId="7" fillId="41" borderId="133" xfId="62" applyNumberFormat="1" applyFont="1" applyFill="1" applyBorder="1" applyAlignment="1">
      <alignment vertical="center"/>
      <protection/>
    </xf>
    <xf numFmtId="1" fontId="7" fillId="0" borderId="115" xfId="0" applyNumberFormat="1" applyFont="1" applyFill="1" applyBorder="1" applyAlignment="1">
      <alignment horizontal="center"/>
    </xf>
    <xf numFmtId="1" fontId="7" fillId="41" borderId="115" xfId="0" applyNumberFormat="1" applyFont="1" applyFill="1" applyBorder="1" applyAlignment="1">
      <alignment horizontal="center"/>
    </xf>
    <xf numFmtId="0" fontId="7" fillId="0" borderId="119" xfId="60" applyNumberFormat="1" applyFont="1" applyFill="1" applyBorder="1" applyAlignment="1">
      <alignment horizontal="center"/>
      <protection/>
    </xf>
    <xf numFmtId="0" fontId="7" fillId="0" borderId="117" xfId="60" applyFont="1" applyFill="1" applyBorder="1" applyAlignment="1">
      <alignment horizontal="center"/>
      <protection/>
    </xf>
    <xf numFmtId="164" fontId="7" fillId="36" borderId="119" xfId="62" applyNumberFormat="1" applyFont="1" applyFill="1" applyBorder="1" applyAlignment="1">
      <alignment/>
      <protection/>
    </xf>
    <xf numFmtId="164" fontId="7" fillId="41" borderId="136" xfId="62" applyNumberFormat="1" applyFont="1" applyFill="1" applyBorder="1" applyAlignment="1">
      <alignment/>
      <protection/>
    </xf>
    <xf numFmtId="164" fontId="7" fillId="41" borderId="137" xfId="61" applyNumberFormat="1" applyFont="1" applyFill="1" applyBorder="1" applyAlignment="1">
      <alignment/>
      <protection/>
    </xf>
    <xf numFmtId="164" fontId="7" fillId="36" borderId="118" xfId="62" applyNumberFormat="1" applyFont="1" applyFill="1" applyBorder="1" applyAlignment="1">
      <alignment/>
      <protection/>
    </xf>
    <xf numFmtId="164" fontId="7" fillId="41" borderId="116" xfId="61" applyNumberFormat="1" applyFont="1" applyFill="1" applyBorder="1" applyAlignment="1">
      <alignment/>
      <protection/>
    </xf>
    <xf numFmtId="164" fontId="7" fillId="41" borderId="117" xfId="62" applyNumberFormat="1" applyFont="1" applyFill="1" applyBorder="1" applyAlignment="1">
      <alignment/>
      <protection/>
    </xf>
    <xf numFmtId="1" fontId="7" fillId="0" borderId="120" xfId="0" applyNumberFormat="1" applyFont="1" applyFill="1" applyBorder="1" applyAlignment="1">
      <alignment horizontal="center"/>
    </xf>
    <xf numFmtId="1" fontId="7" fillId="41" borderId="120" xfId="0" applyNumberFormat="1" applyFont="1" applyFill="1" applyBorder="1" applyAlignment="1">
      <alignment horizontal="center"/>
    </xf>
    <xf numFmtId="0" fontId="7" fillId="0" borderId="125" xfId="60" applyNumberFormat="1" applyFont="1" applyFill="1" applyBorder="1" applyAlignment="1">
      <alignment horizontal="center"/>
      <protection/>
    </xf>
    <xf numFmtId="0" fontId="7" fillId="0" borderId="122" xfId="60" applyFont="1" applyFill="1" applyBorder="1" applyAlignment="1">
      <alignment horizontal="center"/>
      <protection/>
    </xf>
    <xf numFmtId="164" fontId="7" fillId="36" borderId="125" xfId="62" applyNumberFormat="1" applyFont="1" applyFill="1" applyBorder="1" applyAlignment="1">
      <alignment/>
      <protection/>
    </xf>
    <xf numFmtId="164" fontId="7" fillId="41" borderId="138" xfId="62" applyNumberFormat="1" applyFont="1" applyFill="1" applyBorder="1" applyAlignment="1">
      <alignment/>
      <protection/>
    </xf>
    <xf numFmtId="164" fontId="7" fillId="41" borderId="139" xfId="61" applyNumberFormat="1" applyFont="1" applyFill="1" applyBorder="1" applyAlignment="1">
      <alignment/>
      <protection/>
    </xf>
    <xf numFmtId="164" fontId="7" fillId="36" borderId="124" xfId="62" applyNumberFormat="1" applyFont="1" applyFill="1" applyBorder="1" applyAlignment="1">
      <alignment/>
      <protection/>
    </xf>
    <xf numFmtId="164" fontId="7" fillId="41" borderId="29" xfId="62" applyNumberFormat="1" applyFont="1" applyFill="1" applyBorder="1" applyAlignment="1">
      <alignment/>
      <protection/>
    </xf>
    <xf numFmtId="164" fontId="7" fillId="41" borderId="121" xfId="61" applyNumberFormat="1" applyFont="1" applyFill="1" applyBorder="1" applyAlignment="1">
      <alignment/>
      <protection/>
    </xf>
    <xf numFmtId="164" fontId="7" fillId="41" borderId="122" xfId="62" applyNumberFormat="1" applyFont="1" applyFill="1" applyBorder="1" applyAlignment="1">
      <alignment/>
      <protection/>
    </xf>
    <xf numFmtId="49" fontId="7" fillId="0" borderId="107" xfId="0" applyNumberFormat="1" applyFont="1" applyFill="1" applyBorder="1" applyAlignment="1">
      <alignment horizontal="center" vertical="center"/>
    </xf>
    <xf numFmtId="1" fontId="7" fillId="41" borderId="18" xfId="0" applyNumberFormat="1" applyFont="1" applyFill="1" applyBorder="1" applyAlignment="1">
      <alignment horizontal="center" vertical="center"/>
    </xf>
    <xf numFmtId="0" fontId="7" fillId="0" borderId="65" xfId="60" applyNumberFormat="1" applyFont="1" applyFill="1" applyBorder="1" applyAlignment="1">
      <alignment horizontal="center" vertical="center"/>
      <protection/>
    </xf>
    <xf numFmtId="0" fontId="7" fillId="0" borderId="72" xfId="60" applyFont="1" applyFill="1" applyBorder="1" applyAlignment="1">
      <alignment horizontal="center" vertical="center"/>
      <protection/>
    </xf>
    <xf numFmtId="164" fontId="7" fillId="36" borderId="65" xfId="62" applyNumberFormat="1" applyFont="1" applyFill="1" applyBorder="1" applyAlignment="1">
      <alignment vertical="center"/>
      <protection/>
    </xf>
    <xf numFmtId="164" fontId="7" fillId="41" borderId="17" xfId="61" applyNumberFormat="1" applyFont="1" applyFill="1" applyBorder="1" applyAlignment="1">
      <alignment vertical="center"/>
      <protection/>
    </xf>
    <xf numFmtId="164" fontId="7" fillId="41" borderId="87" xfId="61" applyNumberFormat="1" applyFont="1" applyFill="1" applyBorder="1" applyAlignment="1">
      <alignment vertical="center"/>
      <protection/>
    </xf>
    <xf numFmtId="49" fontId="7" fillId="0" borderId="106" xfId="0" applyNumberFormat="1" applyFont="1" applyFill="1" applyBorder="1" applyAlignment="1">
      <alignment horizontal="center"/>
    </xf>
    <xf numFmtId="0" fontId="7" fillId="0" borderId="119" xfId="60" applyNumberFormat="1" applyFont="1" applyFill="1" applyBorder="1" applyAlignment="1">
      <alignment horizontal="center" vertical="center"/>
      <protection/>
    </xf>
    <xf numFmtId="164" fontId="7" fillId="36" borderId="119" xfId="62" applyNumberFormat="1" applyFont="1" applyFill="1" applyBorder="1" applyAlignment="1">
      <alignment vertical="center"/>
      <protection/>
    </xf>
    <xf numFmtId="164" fontId="7" fillId="41" borderId="136" xfId="62" applyNumberFormat="1" applyFont="1" applyFill="1" applyBorder="1" applyAlignment="1">
      <alignment vertical="center"/>
      <protection/>
    </xf>
    <xf numFmtId="164" fontId="7" fillId="41" borderId="137" xfId="61" applyNumberFormat="1" applyFont="1" applyFill="1" applyBorder="1" applyAlignment="1">
      <alignment vertical="center"/>
      <protection/>
    </xf>
    <xf numFmtId="164" fontId="7" fillId="41" borderId="140" xfId="62" applyNumberFormat="1" applyFont="1" applyFill="1" applyBorder="1" applyAlignment="1">
      <alignment vertical="center"/>
      <protection/>
    </xf>
    <xf numFmtId="164" fontId="7" fillId="41" borderId="137" xfId="62" applyNumberFormat="1" applyFont="1" applyFill="1" applyBorder="1" applyAlignment="1">
      <alignment vertical="center"/>
      <protection/>
    </xf>
    <xf numFmtId="0" fontId="7" fillId="0" borderId="125" xfId="60" applyNumberFormat="1" applyFont="1" applyFill="1" applyBorder="1" applyAlignment="1">
      <alignment horizontal="center" vertical="center"/>
      <protection/>
    </xf>
    <xf numFmtId="164" fontId="7" fillId="36" borderId="125" xfId="62" applyNumberFormat="1" applyFont="1" applyFill="1" applyBorder="1" applyAlignment="1">
      <alignment vertical="center"/>
      <protection/>
    </xf>
    <xf numFmtId="164" fontId="7" fillId="41" borderId="138" xfId="62" applyNumberFormat="1" applyFont="1" applyFill="1" applyBorder="1" applyAlignment="1">
      <alignment vertical="center"/>
      <protection/>
    </xf>
    <xf numFmtId="164" fontId="7" fillId="41" borderId="139" xfId="61" applyNumberFormat="1" applyFont="1" applyFill="1" applyBorder="1" applyAlignment="1">
      <alignment vertical="center"/>
      <protection/>
    </xf>
    <xf numFmtId="164" fontId="7" fillId="41" borderId="29" xfId="62" applyNumberFormat="1" applyFont="1" applyFill="1" applyBorder="1" applyAlignment="1">
      <alignment vertical="center"/>
      <protection/>
    </xf>
    <xf numFmtId="164" fontId="7" fillId="41" borderId="139" xfId="62" applyNumberFormat="1" applyFont="1" applyFill="1" applyBorder="1" applyAlignment="1">
      <alignment vertical="center"/>
      <protection/>
    </xf>
    <xf numFmtId="0" fontId="7" fillId="33" borderId="73" xfId="60" applyNumberFormat="1" applyFont="1" applyFill="1" applyBorder="1" applyAlignment="1">
      <alignment horizontal="center"/>
      <protection/>
    </xf>
    <xf numFmtId="1" fontId="7" fillId="0" borderId="20" xfId="60" applyNumberFormat="1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left" vertical="center" wrapText="1"/>
    </xf>
    <xf numFmtId="49" fontId="7" fillId="0" borderId="141" xfId="60" applyNumberFormat="1" applyFont="1" applyFill="1" applyBorder="1" applyAlignment="1">
      <alignment horizontal="center"/>
      <protection/>
    </xf>
    <xf numFmtId="0" fontId="7" fillId="41" borderId="112" xfId="60" applyFont="1" applyFill="1" applyBorder="1" applyAlignment="1" quotePrefix="1">
      <alignment horizontal="center"/>
      <protection/>
    </xf>
    <xf numFmtId="0" fontId="7" fillId="33" borderId="142" xfId="60" applyNumberFormat="1" applyFont="1" applyFill="1" applyBorder="1" applyAlignment="1">
      <alignment horizontal="center"/>
      <protection/>
    </xf>
    <xf numFmtId="1" fontId="7" fillId="0" borderId="128" xfId="60" applyNumberFormat="1" applyFont="1" applyFill="1" applyBorder="1" applyAlignment="1">
      <alignment horizontal="center"/>
      <protection/>
    </xf>
    <xf numFmtId="0" fontId="7" fillId="0" borderId="112" xfId="0" applyFont="1" applyFill="1" applyBorder="1" applyAlignment="1">
      <alignment horizontal="left" vertical="center" wrapText="1"/>
    </xf>
    <xf numFmtId="164" fontId="7" fillId="41" borderId="142" xfId="62" applyNumberFormat="1" applyFont="1" applyFill="1" applyBorder="1" applyAlignment="1">
      <alignment/>
      <protection/>
    </xf>
    <xf numFmtId="164" fontId="7" fillId="41" borderId="130" xfId="62" applyNumberFormat="1" applyFont="1" applyFill="1" applyBorder="1" applyAlignment="1">
      <alignment/>
      <protection/>
    </xf>
    <xf numFmtId="164" fontId="7" fillId="33" borderId="143" xfId="62" applyNumberFormat="1" applyFont="1" applyFill="1" applyBorder="1" applyAlignment="1">
      <alignment/>
      <protection/>
    </xf>
    <xf numFmtId="164" fontId="7" fillId="36" borderId="126" xfId="62" applyNumberFormat="1" applyFont="1" applyFill="1" applyBorder="1" applyAlignment="1">
      <alignment/>
      <protection/>
    </xf>
    <xf numFmtId="164" fontId="7" fillId="41" borderId="127" xfId="62" applyNumberFormat="1" applyFont="1" applyFill="1" applyBorder="1" applyAlignment="1">
      <alignment/>
      <protection/>
    </xf>
    <xf numFmtId="164" fontId="7" fillId="41" borderId="128" xfId="61" applyNumberFormat="1" applyFont="1" applyFill="1" applyBorder="1" applyAlignment="1">
      <alignment/>
      <protection/>
    </xf>
    <xf numFmtId="164" fontId="7" fillId="36" borderId="129" xfId="62" applyNumberFormat="1" applyFont="1" applyFill="1" applyBorder="1" applyAlignment="1">
      <alignment/>
      <protection/>
    </xf>
    <xf numFmtId="164" fontId="7" fillId="41" borderId="130" xfId="61" applyNumberFormat="1" applyFont="1" applyFill="1" applyBorder="1" applyAlignment="1">
      <alignment/>
      <protection/>
    </xf>
    <xf numFmtId="164" fontId="7" fillId="41" borderId="143" xfId="62" applyNumberFormat="1" applyFont="1" applyFill="1" applyBorder="1" applyAlignment="1">
      <alignment/>
      <protection/>
    </xf>
    <xf numFmtId="49" fontId="7" fillId="0" borderId="144" xfId="60" applyNumberFormat="1" applyFont="1" applyFill="1" applyBorder="1" applyAlignment="1">
      <alignment horizontal="center"/>
      <protection/>
    </xf>
    <xf numFmtId="0" fontId="7" fillId="41" borderId="123" xfId="60" applyFont="1" applyFill="1" applyBorder="1" applyAlignment="1" quotePrefix="1">
      <alignment horizontal="center"/>
      <protection/>
    </xf>
    <xf numFmtId="0" fontId="7" fillId="33" borderId="86" xfId="60" applyNumberFormat="1" applyFont="1" applyFill="1" applyBorder="1" applyAlignment="1">
      <alignment horizontal="center"/>
      <protection/>
    </xf>
    <xf numFmtId="1" fontId="7" fillId="0" borderId="133" xfId="60" applyNumberFormat="1" applyFont="1" applyFill="1" applyBorder="1" applyAlignment="1">
      <alignment horizontal="center"/>
      <protection/>
    </xf>
    <xf numFmtId="0" fontId="7" fillId="0" borderId="123" xfId="0" applyFont="1" applyFill="1" applyBorder="1" applyAlignment="1">
      <alignment horizontal="left" vertical="center" wrapText="1"/>
    </xf>
    <xf numFmtId="164" fontId="7" fillId="41" borderId="86" xfId="62" applyNumberFormat="1" applyFont="1" applyFill="1" applyBorder="1" applyAlignment="1">
      <alignment/>
      <protection/>
    </xf>
    <xf numFmtId="164" fontId="7" fillId="41" borderId="132" xfId="62" applyNumberFormat="1" applyFont="1" applyFill="1" applyBorder="1" applyAlignment="1">
      <alignment/>
      <protection/>
    </xf>
    <xf numFmtId="164" fontId="7" fillId="33" borderId="145" xfId="62" applyNumberFormat="1" applyFont="1" applyFill="1" applyBorder="1" applyAlignment="1">
      <alignment/>
      <protection/>
    </xf>
    <xf numFmtId="49" fontId="11" fillId="33" borderId="10" xfId="60" applyNumberFormat="1" applyFont="1" applyFill="1" applyBorder="1" applyAlignment="1">
      <alignment horizontal="center"/>
      <protection/>
    </xf>
    <xf numFmtId="0" fontId="8" fillId="33" borderId="12" xfId="60" applyFont="1" applyFill="1" applyBorder="1" applyAlignment="1">
      <alignment horizontal="center" vertical="center"/>
      <protection/>
    </xf>
    <xf numFmtId="0" fontId="8" fillId="33" borderId="12" xfId="60" applyNumberFormat="1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 quotePrefix="1">
      <alignment horizontal="center" vertical="center"/>
      <protection/>
    </xf>
    <xf numFmtId="0" fontId="8" fillId="33" borderId="15" xfId="60" applyFont="1" applyFill="1" applyBorder="1" applyAlignment="1" quotePrefix="1">
      <alignment horizontal="left" vertical="center"/>
      <protection/>
    </xf>
    <xf numFmtId="164" fontId="8" fillId="0" borderId="11" xfId="62" applyNumberFormat="1" applyFont="1" applyFill="1" applyBorder="1" applyAlignment="1">
      <alignment vertical="center"/>
      <protection/>
    </xf>
    <xf numFmtId="164" fontId="8" fillId="36" borderId="14" xfId="62" applyNumberFormat="1" applyFont="1" applyFill="1" applyBorder="1" applyAlignment="1">
      <alignment vertical="center"/>
      <protection/>
    </xf>
    <xf numFmtId="164" fontId="8" fillId="33" borderId="82" xfId="60" applyNumberFormat="1" applyFont="1" applyFill="1" applyBorder="1" applyAlignment="1">
      <alignment vertical="center"/>
      <protection/>
    </xf>
    <xf numFmtId="164" fontId="8" fillId="33" borderId="11" xfId="60" applyNumberFormat="1" applyFont="1" applyFill="1" applyBorder="1" applyAlignment="1">
      <alignment vertical="center"/>
      <protection/>
    </xf>
    <xf numFmtId="164" fontId="8" fillId="33" borderId="85" xfId="60" applyNumberFormat="1" applyFont="1" applyFill="1" applyBorder="1" applyAlignment="1">
      <alignment vertical="center"/>
      <protection/>
    </xf>
    <xf numFmtId="49" fontId="7" fillId="0" borderId="129" xfId="60" applyNumberFormat="1" applyFont="1" applyFill="1" applyBorder="1" applyAlignment="1">
      <alignment horizontal="center"/>
      <protection/>
    </xf>
    <xf numFmtId="0" fontId="7" fillId="0" borderId="142" xfId="60" applyNumberFormat="1" applyFont="1" applyFill="1" applyBorder="1" applyAlignment="1">
      <alignment horizontal="center"/>
      <protection/>
    </xf>
    <xf numFmtId="0" fontId="7" fillId="33" borderId="128" xfId="60" applyFont="1" applyFill="1" applyBorder="1" applyAlignment="1">
      <alignment horizontal="center"/>
      <protection/>
    </xf>
    <xf numFmtId="0" fontId="7" fillId="0" borderId="112" xfId="0" applyFont="1" applyFill="1" applyBorder="1" applyAlignment="1">
      <alignment horizontal="left" vertical="center"/>
    </xf>
    <xf numFmtId="164" fontId="7" fillId="36" borderId="129" xfId="62" applyNumberFormat="1" applyFont="1" applyFill="1" applyBorder="1">
      <alignment/>
      <protection/>
    </xf>
    <xf numFmtId="164" fontId="7" fillId="33" borderId="126" xfId="62" applyNumberFormat="1" applyFont="1" applyFill="1" applyBorder="1" applyAlignment="1" quotePrefix="1">
      <alignment/>
      <protection/>
    </xf>
    <xf numFmtId="164" fontId="7" fillId="33" borderId="130" xfId="62" applyNumberFormat="1" applyFont="1" applyFill="1" applyBorder="1" applyAlignment="1" quotePrefix="1">
      <alignment/>
      <protection/>
    </xf>
    <xf numFmtId="164" fontId="7" fillId="36" borderId="130" xfId="62" applyNumberFormat="1" applyFont="1" applyFill="1" applyBorder="1">
      <alignment/>
      <protection/>
    </xf>
    <xf numFmtId="164" fontId="7" fillId="41" borderId="130" xfId="62" applyNumberFormat="1" applyFont="1" applyFill="1" applyBorder="1" applyAlignment="1" quotePrefix="1">
      <alignment/>
      <protection/>
    </xf>
    <xf numFmtId="164" fontId="7" fillId="41" borderId="128" xfId="62" applyNumberFormat="1" applyFont="1" applyFill="1" applyBorder="1" applyAlignment="1">
      <alignment/>
      <protection/>
    </xf>
    <xf numFmtId="49" fontId="7" fillId="0" borderId="124" xfId="60" applyNumberFormat="1" applyFont="1" applyFill="1" applyBorder="1" applyAlignment="1">
      <alignment horizontal="center"/>
      <protection/>
    </xf>
    <xf numFmtId="0" fontId="7" fillId="41" borderId="120" xfId="60" applyFont="1" applyFill="1" applyBorder="1" applyAlignment="1" quotePrefix="1">
      <alignment horizontal="center"/>
      <protection/>
    </xf>
    <xf numFmtId="0" fontId="7" fillId="0" borderId="29" xfId="60" applyNumberFormat="1" applyFont="1" applyFill="1" applyBorder="1" applyAlignment="1">
      <alignment horizontal="center"/>
      <protection/>
    </xf>
    <xf numFmtId="0" fontId="7" fillId="33" borderId="139" xfId="60" applyFont="1" applyFill="1" applyBorder="1" applyAlignment="1">
      <alignment horizontal="center"/>
      <protection/>
    </xf>
    <xf numFmtId="164" fontId="7" fillId="36" borderId="124" xfId="62" applyNumberFormat="1" applyFont="1" applyFill="1" applyBorder="1">
      <alignment/>
      <protection/>
    </xf>
    <xf numFmtId="164" fontId="7" fillId="41" borderId="125" xfId="62" applyNumberFormat="1" applyFont="1" applyFill="1" applyBorder="1" applyAlignment="1" quotePrefix="1">
      <alignment/>
      <protection/>
    </xf>
    <xf numFmtId="164" fontId="7" fillId="41" borderId="121" xfId="62" applyNumberFormat="1" applyFont="1" applyFill="1" applyBorder="1" applyAlignment="1" quotePrefix="1">
      <alignment/>
      <protection/>
    </xf>
    <xf numFmtId="164" fontId="7" fillId="36" borderId="121" xfId="62" applyNumberFormat="1" applyFont="1" applyFill="1" applyBorder="1">
      <alignment/>
      <protection/>
    </xf>
    <xf numFmtId="164" fontId="7" fillId="41" borderId="139" xfId="62" applyNumberFormat="1" applyFont="1" applyFill="1" applyBorder="1" applyAlignment="1">
      <alignment/>
      <protection/>
    </xf>
    <xf numFmtId="164" fontId="7" fillId="41" borderId="126" xfId="62" applyNumberFormat="1" applyFont="1" applyFill="1" applyBorder="1" applyAlignment="1" quotePrefix="1">
      <alignment/>
      <protection/>
    </xf>
    <xf numFmtId="164" fontId="7" fillId="36" borderId="21" xfId="62" applyNumberFormat="1" applyFont="1" applyFill="1" applyBorder="1">
      <alignment/>
      <protection/>
    </xf>
    <xf numFmtId="0" fontId="7" fillId="0" borderId="129" xfId="0" applyFont="1" applyFill="1" applyBorder="1" applyAlignment="1">
      <alignment horizontal="left" vertical="center"/>
    </xf>
    <xf numFmtId="49" fontId="7" fillId="0" borderId="67" xfId="60" applyNumberFormat="1" applyFont="1" applyFill="1" applyBorder="1" applyAlignment="1">
      <alignment horizontal="center"/>
      <protection/>
    </xf>
    <xf numFmtId="0" fontId="7" fillId="33" borderId="29" xfId="60" applyNumberFormat="1" applyFont="1" applyFill="1" applyBorder="1" applyAlignment="1">
      <alignment horizontal="center"/>
      <protection/>
    </xf>
    <xf numFmtId="0" fontId="7" fillId="41" borderId="69" xfId="0" applyFont="1" applyFill="1" applyBorder="1" applyAlignment="1">
      <alignment horizontal="left" vertical="center"/>
    </xf>
    <xf numFmtId="0" fontId="7" fillId="41" borderId="18" xfId="0" applyFont="1" applyFill="1" applyBorder="1" applyAlignment="1">
      <alignment horizontal="left" vertical="center"/>
    </xf>
    <xf numFmtId="0" fontId="7" fillId="41" borderId="120" xfId="0" applyFont="1" applyFill="1" applyBorder="1" applyAlignment="1">
      <alignment horizontal="left" vertical="center"/>
    </xf>
    <xf numFmtId="49" fontId="15" fillId="0" borderId="41" xfId="0" applyNumberFormat="1" applyFont="1" applyFill="1" applyBorder="1" applyAlignment="1">
      <alignment horizontal="center" vertical="center"/>
    </xf>
    <xf numFmtId="164" fontId="8" fillId="37" borderId="11" xfId="62" applyNumberFormat="1" applyFont="1" applyFill="1" applyBorder="1" applyAlignment="1">
      <alignment vertical="center"/>
      <protection/>
    </xf>
    <xf numFmtId="164" fontId="8" fillId="37" borderId="14" xfId="62" applyNumberFormat="1" applyFont="1" applyFill="1" applyBorder="1" applyAlignment="1">
      <alignment vertical="center"/>
      <protection/>
    </xf>
    <xf numFmtId="49" fontId="7" fillId="0" borderId="118" xfId="60" applyNumberFormat="1" applyFont="1" applyFill="1" applyBorder="1" applyAlignment="1">
      <alignment horizontal="center"/>
      <protection/>
    </xf>
    <xf numFmtId="0" fontId="7" fillId="0" borderId="140" xfId="60" applyFont="1" applyBorder="1" applyAlignment="1">
      <alignment horizontal="center"/>
      <protection/>
    </xf>
    <xf numFmtId="0" fontId="7" fillId="0" borderId="116" xfId="60" applyNumberFormat="1" applyFont="1" applyFill="1" applyBorder="1" applyAlignment="1">
      <alignment horizontal="center"/>
      <protection/>
    </xf>
    <xf numFmtId="0" fontId="7" fillId="0" borderId="137" xfId="60" applyFont="1" applyFill="1" applyBorder="1" applyAlignment="1">
      <alignment horizontal="center"/>
      <protection/>
    </xf>
    <xf numFmtId="0" fontId="15" fillId="0" borderId="141" xfId="0" applyFont="1" applyFill="1" applyBorder="1" applyAlignment="1">
      <alignment horizontal="left" vertical="center"/>
    </xf>
    <xf numFmtId="164" fontId="7" fillId="37" borderId="115" xfId="62" applyNumberFormat="1" applyFont="1" applyFill="1" applyBorder="1" applyAlignment="1">
      <alignment vertical="center"/>
      <protection/>
    </xf>
    <xf numFmtId="164" fontId="7" fillId="33" borderId="116" xfId="60" applyNumberFormat="1" applyFont="1" applyFill="1" applyBorder="1" applyAlignment="1">
      <alignment vertical="center"/>
      <protection/>
    </xf>
    <xf numFmtId="164" fontId="7" fillId="33" borderId="137" xfId="60" applyNumberFormat="1" applyFont="1" applyFill="1" applyBorder="1" applyAlignment="1">
      <alignment vertical="center"/>
      <protection/>
    </xf>
    <xf numFmtId="164" fontId="7" fillId="41" borderId="116" xfId="60" applyNumberFormat="1" applyFont="1" applyFill="1" applyBorder="1" applyAlignment="1">
      <alignment vertical="center"/>
      <protection/>
    </xf>
    <xf numFmtId="164" fontId="7" fillId="41" borderId="136" xfId="60" applyNumberFormat="1" applyFont="1" applyFill="1" applyBorder="1" applyAlignment="1">
      <alignment vertical="center"/>
      <protection/>
    </xf>
    <xf numFmtId="164" fontId="7" fillId="41" borderId="137" xfId="60" applyNumberFormat="1" applyFont="1" applyFill="1" applyBorder="1" applyAlignment="1">
      <alignment vertical="center"/>
      <protection/>
    </xf>
    <xf numFmtId="0" fontId="7" fillId="0" borderId="29" xfId="60" applyFont="1" applyBorder="1" applyAlignment="1">
      <alignment horizontal="center"/>
      <protection/>
    </xf>
    <xf numFmtId="0" fontId="7" fillId="0" borderId="121" xfId="60" applyNumberFormat="1" applyFont="1" applyFill="1" applyBorder="1" applyAlignment="1">
      <alignment horizontal="center"/>
      <protection/>
    </xf>
    <xf numFmtId="0" fontId="7" fillId="0" borderId="139" xfId="60" applyFont="1" applyFill="1" applyBorder="1" applyAlignment="1">
      <alignment horizontal="center"/>
      <protection/>
    </xf>
    <xf numFmtId="0" fontId="15" fillId="0" borderId="146" xfId="0" applyFont="1" applyFill="1" applyBorder="1" applyAlignment="1">
      <alignment horizontal="left" vertical="center"/>
    </xf>
    <xf numFmtId="164" fontId="7" fillId="37" borderId="120" xfId="62" applyNumberFormat="1" applyFont="1" applyFill="1" applyBorder="1" applyAlignment="1">
      <alignment vertical="center"/>
      <protection/>
    </xf>
    <xf numFmtId="164" fontId="7" fillId="33" borderId="121" xfId="60" applyNumberFormat="1" applyFont="1" applyFill="1" applyBorder="1" applyAlignment="1">
      <alignment vertical="center"/>
      <protection/>
    </xf>
    <xf numFmtId="164" fontId="7" fillId="41" borderId="139" xfId="60" applyNumberFormat="1" applyFont="1" applyFill="1" applyBorder="1" applyAlignment="1">
      <alignment vertical="center"/>
      <protection/>
    </xf>
    <xf numFmtId="164" fontId="7" fillId="41" borderId="121" xfId="60" applyNumberFormat="1" applyFont="1" applyFill="1" applyBorder="1" applyAlignment="1">
      <alignment vertical="center"/>
      <protection/>
    </xf>
    <xf numFmtId="164" fontId="7" fillId="41" borderId="138" xfId="60" applyNumberFormat="1" applyFont="1" applyFill="1" applyBorder="1" applyAlignment="1">
      <alignment vertical="center"/>
      <protection/>
    </xf>
    <xf numFmtId="0" fontId="7" fillId="41" borderId="124" xfId="0" applyFont="1" applyFill="1" applyBorder="1" applyAlignment="1">
      <alignment horizontal="left" vertical="center"/>
    </xf>
    <xf numFmtId="1" fontId="7" fillId="0" borderId="112" xfId="0" applyNumberFormat="1" applyFont="1" applyFill="1" applyBorder="1" applyAlignment="1">
      <alignment horizontal="center"/>
    </xf>
    <xf numFmtId="1" fontId="7" fillId="41" borderId="112" xfId="0" applyNumberFormat="1" applyFont="1" applyFill="1" applyBorder="1" applyAlignment="1">
      <alignment horizontal="center"/>
    </xf>
    <xf numFmtId="0" fontId="7" fillId="0" borderId="126" xfId="60" applyNumberFormat="1" applyFont="1" applyFill="1" applyBorder="1" applyAlignment="1">
      <alignment horizontal="center"/>
      <protection/>
    </xf>
    <xf numFmtId="0" fontId="7" fillId="0" borderId="143" xfId="60" applyFont="1" applyFill="1" applyBorder="1" applyAlignment="1">
      <alignment horizontal="center"/>
      <protection/>
    </xf>
    <xf numFmtId="0" fontId="54" fillId="41" borderId="120" xfId="0" applyFont="1" applyFill="1" applyBorder="1" applyAlignment="1">
      <alignment vertical="center" wrapText="1"/>
    </xf>
    <xf numFmtId="164" fontId="7" fillId="36" borderId="120" xfId="62" applyNumberFormat="1" applyFont="1" applyFill="1" applyBorder="1" applyAlignment="1">
      <alignment/>
      <protection/>
    </xf>
    <xf numFmtId="49" fontId="15" fillId="0" borderId="41" xfId="0" applyNumberFormat="1" applyFont="1" applyBorder="1" applyAlignment="1">
      <alignment horizontal="center" shrinkToFit="1"/>
    </xf>
    <xf numFmtId="49" fontId="7" fillId="0" borderId="129" xfId="60" applyNumberFormat="1" applyFont="1" applyBorder="1" applyAlignment="1">
      <alignment horizontal="center"/>
      <protection/>
    </xf>
    <xf numFmtId="49" fontId="7" fillId="0" borderId="134" xfId="60" applyNumberFormat="1" applyFont="1" applyBorder="1" applyAlignment="1">
      <alignment horizontal="center"/>
      <protection/>
    </xf>
    <xf numFmtId="0" fontId="7" fillId="33" borderId="133" xfId="60" applyFont="1" applyFill="1" applyBorder="1" applyAlignment="1">
      <alignment horizontal="center"/>
      <protection/>
    </xf>
    <xf numFmtId="0" fontId="15" fillId="0" borderId="123" xfId="0" applyFont="1" applyFill="1" applyBorder="1" applyAlignment="1">
      <alignment horizontal="left" vertical="center"/>
    </xf>
    <xf numFmtId="164" fontId="7" fillId="36" borderId="134" xfId="62" applyNumberFormat="1" applyFont="1" applyFill="1" applyBorder="1">
      <alignment/>
      <protection/>
    </xf>
    <xf numFmtId="164" fontId="7" fillId="36" borderId="135" xfId="62" applyNumberFormat="1" applyFont="1" applyFill="1" applyBorder="1">
      <alignment/>
      <protection/>
    </xf>
    <xf numFmtId="164" fontId="7" fillId="33" borderId="29" xfId="62" applyNumberFormat="1" applyFont="1" applyFill="1" applyBorder="1" applyAlignment="1" quotePrefix="1">
      <alignment/>
      <protection/>
    </xf>
    <xf numFmtId="49" fontId="7" fillId="0" borderId="95" xfId="0" applyNumberFormat="1" applyFont="1" applyFill="1" applyBorder="1" applyAlignment="1">
      <alignment horizontal="center"/>
    </xf>
    <xf numFmtId="0" fontId="7" fillId="0" borderId="129" xfId="0" applyFont="1" applyFill="1" applyBorder="1" applyAlignment="1">
      <alignment horizontal="left" vertical="center"/>
    </xf>
    <xf numFmtId="49" fontId="7" fillId="0" borderId="134" xfId="60" applyNumberFormat="1" applyFont="1" applyFill="1" applyBorder="1" applyAlignment="1">
      <alignment horizontal="center"/>
      <protection/>
    </xf>
    <xf numFmtId="0" fontId="7" fillId="33" borderId="130" xfId="60" applyNumberFormat="1" applyFont="1" applyFill="1" applyBorder="1" applyAlignment="1">
      <alignment horizontal="center"/>
      <protection/>
    </xf>
    <xf numFmtId="164" fontId="7" fillId="36" borderId="112" xfId="62" applyNumberFormat="1" applyFont="1" applyFill="1" applyBorder="1" applyAlignment="1">
      <alignment/>
      <protection/>
    </xf>
    <xf numFmtId="164" fontId="7" fillId="36" borderId="123" xfId="62" applyNumberFormat="1" applyFont="1" applyFill="1" applyBorder="1" applyAlignment="1">
      <alignment/>
      <protection/>
    </xf>
    <xf numFmtId="164" fontId="7" fillId="41" borderId="133" xfId="61" applyNumberFormat="1" applyFont="1" applyFill="1" applyBorder="1" applyAlignment="1">
      <alignment/>
      <protection/>
    </xf>
    <xf numFmtId="164" fontId="7" fillId="36" borderId="134" xfId="62" applyNumberFormat="1" applyFont="1" applyFill="1" applyBorder="1" applyAlignment="1">
      <alignment/>
      <protection/>
    </xf>
    <xf numFmtId="164" fontId="7" fillId="41" borderId="135" xfId="61" applyNumberFormat="1" applyFont="1" applyFill="1" applyBorder="1" applyAlignment="1">
      <alignment/>
      <protection/>
    </xf>
    <xf numFmtId="164" fontId="7" fillId="41" borderId="145" xfId="62" applyNumberFormat="1" applyFont="1" applyFill="1" applyBorder="1" applyAlignment="1">
      <alignment/>
      <protection/>
    </xf>
    <xf numFmtId="0" fontId="7" fillId="33" borderId="18" xfId="60" applyFont="1" applyFill="1" applyBorder="1" applyAlignment="1" quotePrefix="1">
      <alignment horizontal="center" vertical="center"/>
      <protection/>
    </xf>
    <xf numFmtId="0" fontId="7" fillId="33" borderId="87" xfId="60" applyNumberFormat="1" applyFont="1" applyFill="1" applyBorder="1" applyAlignment="1">
      <alignment horizontal="center" vertical="center"/>
      <protection/>
    </xf>
    <xf numFmtId="164" fontId="7" fillId="36" borderId="72" xfId="61" applyNumberFormat="1" applyFont="1" applyFill="1" applyBorder="1" applyAlignment="1">
      <alignment vertical="center"/>
      <protection/>
    </xf>
    <xf numFmtId="164" fontId="7" fillId="36" borderId="69" xfId="62" applyNumberFormat="1" applyFont="1" applyFill="1" applyBorder="1" applyAlignment="1">
      <alignment vertical="center"/>
      <protection/>
    </xf>
    <xf numFmtId="164" fontId="7" fillId="36" borderId="112" xfId="62" applyNumberFormat="1" applyFont="1" applyFill="1" applyBorder="1" applyAlignment="1">
      <alignment vertical="center"/>
      <protection/>
    </xf>
    <xf numFmtId="164" fontId="7" fillId="33" borderId="130" xfId="62" applyNumberFormat="1" applyFont="1" applyFill="1" applyBorder="1" applyAlignment="1">
      <alignment vertical="center"/>
      <protection/>
    </xf>
    <xf numFmtId="164" fontId="7" fillId="33" borderId="143" xfId="62" applyNumberFormat="1" applyFont="1" applyFill="1" applyBorder="1" applyAlignment="1">
      <alignment vertical="center"/>
      <protection/>
    </xf>
    <xf numFmtId="164" fontId="7" fillId="36" borderId="143" xfId="61" applyNumberFormat="1" applyFont="1" applyFill="1" applyBorder="1" applyAlignment="1">
      <alignment vertical="center"/>
      <protection/>
    </xf>
    <xf numFmtId="164" fontId="7" fillId="41" borderId="126" xfId="62" applyNumberFormat="1" applyFont="1" applyFill="1" applyBorder="1" applyAlignment="1">
      <alignment vertical="center"/>
      <protection/>
    </xf>
    <xf numFmtId="164" fontId="7" fillId="41" borderId="128" xfId="62" applyNumberFormat="1" applyFont="1" applyFill="1" applyBorder="1" applyAlignment="1" quotePrefix="1">
      <alignment vertical="center"/>
      <protection/>
    </xf>
    <xf numFmtId="164" fontId="7" fillId="36" borderId="123" xfId="62" applyNumberFormat="1" applyFont="1" applyFill="1" applyBorder="1" applyAlignment="1">
      <alignment vertical="center"/>
      <protection/>
    </xf>
    <xf numFmtId="164" fontId="7" fillId="33" borderId="135" xfId="62" applyNumberFormat="1" applyFont="1" applyFill="1" applyBorder="1" applyAlignment="1">
      <alignment vertical="center"/>
      <protection/>
    </xf>
    <xf numFmtId="164" fontId="7" fillId="33" borderId="145" xfId="62" applyNumberFormat="1" applyFont="1" applyFill="1" applyBorder="1" applyAlignment="1">
      <alignment vertical="center"/>
      <protection/>
    </xf>
    <xf numFmtId="164" fontId="7" fillId="36" borderId="145" xfId="61" applyNumberFormat="1" applyFont="1" applyFill="1" applyBorder="1" applyAlignment="1">
      <alignment vertical="center"/>
      <protection/>
    </xf>
    <xf numFmtId="164" fontId="7" fillId="41" borderId="133" xfId="62" applyNumberFormat="1" applyFont="1" applyFill="1" applyBorder="1" applyAlignment="1" quotePrefix="1">
      <alignment vertical="center"/>
      <protection/>
    </xf>
    <xf numFmtId="0" fontId="7" fillId="33" borderId="73" xfId="60" applyFont="1" applyFill="1" applyBorder="1" applyAlignment="1" quotePrefix="1">
      <alignment horizont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15" fillId="0" borderId="129" xfId="0" applyFont="1" applyFill="1" applyBorder="1" applyAlignment="1">
      <alignment horizontal="center" vertical="center"/>
    </xf>
    <xf numFmtId="0" fontId="7" fillId="33" borderId="112" xfId="60" applyFont="1" applyFill="1" applyBorder="1" applyAlignment="1" quotePrefix="1">
      <alignment horizontal="center" vertical="center"/>
      <protection/>
    </xf>
    <xf numFmtId="0" fontId="7" fillId="33" borderId="130" xfId="60" applyNumberFormat="1" applyFont="1" applyFill="1" applyBorder="1" applyAlignment="1">
      <alignment horizontal="center" vertical="center"/>
      <protection/>
    </xf>
    <xf numFmtId="0" fontId="7" fillId="0" borderId="143" xfId="60" applyFont="1" applyFill="1" applyBorder="1" applyAlignment="1">
      <alignment horizontal="center" vertical="center"/>
      <protection/>
    </xf>
    <xf numFmtId="0" fontId="15" fillId="0" borderId="112" xfId="0" applyFont="1" applyFill="1" applyBorder="1" applyAlignment="1">
      <alignment vertical="center" wrapText="1"/>
    </xf>
    <xf numFmtId="164" fontId="7" fillId="36" borderId="129" xfId="62" applyNumberFormat="1" applyFont="1" applyFill="1" applyBorder="1" applyAlignment="1">
      <alignment vertical="center"/>
      <protection/>
    </xf>
    <xf numFmtId="0" fontId="15" fillId="0" borderId="124" xfId="0" applyFont="1" applyFill="1" applyBorder="1" applyAlignment="1">
      <alignment horizontal="center" vertical="center"/>
    </xf>
    <xf numFmtId="0" fontId="7" fillId="33" borderId="123" xfId="60" applyFont="1" applyFill="1" applyBorder="1" applyAlignment="1" quotePrefix="1">
      <alignment horizontal="center" vertical="center"/>
      <protection/>
    </xf>
    <xf numFmtId="0" fontId="7" fillId="0" borderId="145" xfId="60" applyFont="1" applyFill="1" applyBorder="1" applyAlignment="1">
      <alignment horizontal="center" vertical="center"/>
      <protection/>
    </xf>
    <xf numFmtId="0" fontId="15" fillId="0" borderId="120" xfId="0" applyFont="1" applyFill="1" applyBorder="1" applyAlignment="1">
      <alignment vertical="center" wrapText="1"/>
    </xf>
    <xf numFmtId="164" fontId="7" fillId="36" borderId="134" xfId="62" applyNumberFormat="1" applyFont="1" applyFill="1" applyBorder="1" applyAlignment="1">
      <alignment vertical="center"/>
      <protection/>
    </xf>
    <xf numFmtId="0" fontId="7" fillId="33" borderId="121" xfId="60" applyNumberFormat="1" applyFont="1" applyFill="1" applyBorder="1" applyAlignment="1">
      <alignment horizontal="center" vertical="center"/>
      <protection/>
    </xf>
    <xf numFmtId="164" fontId="7" fillId="41" borderId="135" xfId="62" applyNumberFormat="1" applyFont="1" applyFill="1" applyBorder="1" applyAlignment="1">
      <alignment vertical="center"/>
      <protection/>
    </xf>
    <xf numFmtId="0" fontId="15" fillId="0" borderId="147" xfId="0" applyFont="1" applyFill="1" applyBorder="1" applyAlignment="1">
      <alignment horizontal="left" vertical="center"/>
    </xf>
    <xf numFmtId="0" fontId="7" fillId="0" borderId="142" xfId="60" applyFont="1" applyBorder="1" applyAlignment="1">
      <alignment horizontal="center"/>
      <protection/>
    </xf>
    <xf numFmtId="0" fontId="7" fillId="0" borderId="130" xfId="60" applyNumberFormat="1" applyFont="1" applyFill="1" applyBorder="1" applyAlignment="1">
      <alignment horizontal="center"/>
      <protection/>
    </xf>
    <xf numFmtId="0" fontId="7" fillId="0" borderId="128" xfId="60" applyFont="1" applyFill="1" applyBorder="1" applyAlignment="1">
      <alignment horizontal="center"/>
      <protection/>
    </xf>
    <xf numFmtId="164" fontId="7" fillId="37" borderId="112" xfId="62" applyNumberFormat="1" applyFont="1" applyFill="1" applyBorder="1" applyAlignment="1">
      <alignment vertical="center"/>
      <protection/>
    </xf>
    <xf numFmtId="164" fontId="7" fillId="41" borderId="130" xfId="60" applyNumberFormat="1" applyFont="1" applyFill="1" applyBorder="1" applyAlignment="1">
      <alignment vertical="center"/>
      <protection/>
    </xf>
    <xf numFmtId="164" fontId="7" fillId="41" borderId="127" xfId="60" applyNumberFormat="1" applyFont="1" applyFill="1" applyBorder="1" applyAlignment="1">
      <alignment vertical="center"/>
      <protection/>
    </xf>
    <xf numFmtId="164" fontId="7" fillId="41" borderId="128" xfId="60" applyNumberFormat="1" applyFont="1" applyFill="1" applyBorder="1" applyAlignment="1">
      <alignment vertical="center"/>
      <protection/>
    </xf>
    <xf numFmtId="49" fontId="7" fillId="0" borderId="139" xfId="60" applyNumberFormat="1" applyFont="1" applyFill="1" applyBorder="1" applyAlignment="1">
      <alignment horizontal="center"/>
      <protection/>
    </xf>
    <xf numFmtId="0" fontId="15" fillId="0" borderId="144" xfId="0" applyFont="1" applyFill="1" applyBorder="1" applyAlignment="1">
      <alignment horizontal="left" vertical="center"/>
    </xf>
    <xf numFmtId="164" fontId="7" fillId="37" borderId="123" xfId="62" applyNumberFormat="1" applyFont="1" applyFill="1" applyBorder="1" applyAlignment="1">
      <alignment vertical="center"/>
      <protection/>
    </xf>
    <xf numFmtId="164" fontId="7" fillId="33" borderId="135" xfId="60" applyNumberFormat="1" applyFont="1" applyFill="1" applyBorder="1" applyAlignment="1">
      <alignment vertical="center"/>
      <protection/>
    </xf>
    <xf numFmtId="164" fontId="7" fillId="41" borderId="133" xfId="60" applyNumberFormat="1" applyFont="1" applyFill="1" applyBorder="1" applyAlignment="1">
      <alignment vertical="center"/>
      <protection/>
    </xf>
    <xf numFmtId="164" fontId="7" fillId="41" borderId="135" xfId="60" applyNumberFormat="1" applyFont="1" applyFill="1" applyBorder="1" applyAlignment="1">
      <alignment vertical="center"/>
      <protection/>
    </xf>
    <xf numFmtId="164" fontId="7" fillId="41" borderId="132" xfId="60" applyNumberFormat="1" applyFont="1" applyFill="1" applyBorder="1" applyAlignment="1">
      <alignment vertical="center"/>
      <protection/>
    </xf>
    <xf numFmtId="49" fontId="7" fillId="0" borderId="148" xfId="60" applyNumberFormat="1" applyFont="1" applyFill="1" applyBorder="1" applyAlignment="1">
      <alignment horizontal="center"/>
      <protection/>
    </xf>
    <xf numFmtId="0" fontId="1" fillId="0" borderId="149" xfId="60" applyBorder="1">
      <alignment/>
      <protection/>
    </xf>
    <xf numFmtId="49" fontId="7" fillId="0" borderId="112" xfId="0" applyNumberFormat="1" applyFont="1" applyFill="1" applyBorder="1" applyAlignment="1">
      <alignment horizontal="center"/>
    </xf>
    <xf numFmtId="49" fontId="7" fillId="0" borderId="120" xfId="0" applyNumberFormat="1" applyFont="1" applyFill="1" applyBorder="1" applyAlignment="1">
      <alignment horizontal="center"/>
    </xf>
    <xf numFmtId="1" fontId="7" fillId="41" borderId="123" xfId="0" applyNumberFormat="1" applyFont="1" applyFill="1" applyBorder="1" applyAlignment="1">
      <alignment horizontal="center"/>
    </xf>
    <xf numFmtId="0" fontId="7" fillId="33" borderId="135" xfId="60" applyNumberFormat="1" applyFont="1" applyFill="1" applyBorder="1" applyAlignment="1">
      <alignment horizontal="center"/>
      <protection/>
    </xf>
    <xf numFmtId="0" fontId="7" fillId="0" borderId="145" xfId="60" applyFont="1" applyFill="1" applyBorder="1" applyAlignment="1">
      <alignment horizontal="center"/>
      <protection/>
    </xf>
    <xf numFmtId="0" fontId="7" fillId="0" borderId="134" xfId="0" applyFont="1" applyFill="1" applyBorder="1" applyAlignment="1">
      <alignment horizontal="left" vertical="center"/>
    </xf>
    <xf numFmtId="0" fontId="7" fillId="0" borderId="65" xfId="60" applyNumberFormat="1" applyFont="1" applyFill="1" applyBorder="1" applyAlignment="1">
      <alignment horizontal="center"/>
      <protection/>
    </xf>
    <xf numFmtId="0" fontId="7" fillId="0" borderId="115" xfId="0" applyFont="1" applyFill="1" applyBorder="1" applyAlignment="1">
      <alignment horizontal="left" vertical="center"/>
    </xf>
    <xf numFmtId="0" fontId="7" fillId="0" borderId="120" xfId="0" applyFont="1" applyFill="1" applyBorder="1" applyAlignment="1">
      <alignment horizontal="left" vertical="center"/>
    </xf>
    <xf numFmtId="0" fontId="54" fillId="41" borderId="69" xfId="0" applyFont="1" applyFill="1" applyBorder="1" applyAlignment="1">
      <alignment vertical="center" wrapText="1"/>
    </xf>
    <xf numFmtId="0" fontId="15" fillId="41" borderId="126" xfId="0" applyFont="1" applyFill="1" applyBorder="1" applyAlignment="1">
      <alignment horizontal="left" shrinkToFit="1"/>
    </xf>
    <xf numFmtId="0" fontId="7" fillId="33" borderId="125" xfId="60" applyNumberFormat="1" applyFont="1" applyFill="1" applyBorder="1" applyAlignment="1">
      <alignment horizontal="center"/>
      <protection/>
    </xf>
    <xf numFmtId="164" fontId="7" fillId="41" borderId="125" xfId="61" applyNumberFormat="1" applyFont="1" applyFill="1" applyBorder="1" applyAlignment="1">
      <alignment/>
      <protection/>
    </xf>
    <xf numFmtId="0" fontId="7" fillId="0" borderId="18" xfId="0" applyFont="1" applyBorder="1" applyAlignment="1">
      <alignment horizontal="left" vertical="center"/>
    </xf>
    <xf numFmtId="164" fontId="7" fillId="33" borderId="65" xfId="62" applyNumberFormat="1" applyFont="1" applyFill="1" applyBorder="1" applyAlignment="1" quotePrefix="1">
      <alignment/>
      <protection/>
    </xf>
    <xf numFmtId="0" fontId="7" fillId="0" borderId="86" xfId="60" applyNumberFormat="1" applyFont="1" applyFill="1" applyBorder="1" applyAlignment="1">
      <alignment horizontal="center"/>
      <protection/>
    </xf>
    <xf numFmtId="0" fontId="7" fillId="0" borderId="123" xfId="0" applyFont="1" applyFill="1" applyBorder="1" applyAlignment="1">
      <alignment horizontal="left" vertical="center"/>
    </xf>
    <xf numFmtId="164" fontId="7" fillId="33" borderId="131" xfId="62" applyNumberFormat="1" applyFont="1" applyFill="1" applyBorder="1" applyAlignment="1" quotePrefix="1">
      <alignment/>
      <protection/>
    </xf>
    <xf numFmtId="164" fontId="7" fillId="33" borderId="135" xfId="62" applyNumberFormat="1" applyFont="1" applyFill="1" applyBorder="1" applyAlignment="1" quotePrefix="1">
      <alignment/>
      <protection/>
    </xf>
    <xf numFmtId="164" fontId="7" fillId="41" borderId="135" xfId="62" applyNumberFormat="1" applyFont="1" applyFill="1" applyBorder="1" applyAlignment="1" quotePrefix="1">
      <alignment/>
      <protection/>
    </xf>
    <xf numFmtId="164" fontId="7" fillId="41" borderId="135" xfId="62" applyNumberFormat="1" applyFont="1" applyFill="1" applyBorder="1" applyAlignment="1">
      <alignment/>
      <protection/>
    </xf>
    <xf numFmtId="164" fontId="7" fillId="41" borderId="133" xfId="62" applyNumberFormat="1" applyFont="1" applyFill="1" applyBorder="1" applyAlignment="1">
      <alignment/>
      <protection/>
    </xf>
    <xf numFmtId="49" fontId="7" fillId="0" borderId="68" xfId="60" applyNumberFormat="1" applyFont="1" applyFill="1" applyBorder="1" applyAlignment="1">
      <alignment horizontal="center"/>
      <protection/>
    </xf>
    <xf numFmtId="49" fontId="7" fillId="0" borderId="70" xfId="60" applyNumberFormat="1" applyFont="1" applyFill="1" applyBorder="1" applyAlignment="1">
      <alignment horizontal="center"/>
      <protection/>
    </xf>
    <xf numFmtId="0" fontId="7" fillId="41" borderId="123" xfId="0" applyFont="1" applyFill="1" applyBorder="1" applyAlignment="1">
      <alignment horizontal="left" vertical="center"/>
    </xf>
    <xf numFmtId="164" fontId="7" fillId="41" borderId="131" xfId="62" applyNumberFormat="1" applyFont="1" applyFill="1" applyBorder="1" applyAlignment="1" quotePrefix="1">
      <alignment/>
      <protection/>
    </xf>
    <xf numFmtId="0" fontId="7" fillId="41" borderId="39" xfId="0" applyFont="1" applyFill="1" applyBorder="1" applyAlignment="1">
      <alignment horizontal="left" vertical="center"/>
    </xf>
    <xf numFmtId="0" fontId="7" fillId="33" borderId="87" xfId="60" applyNumberFormat="1" applyFont="1" applyFill="1" applyBorder="1" applyAlignment="1">
      <alignment horizontal="center"/>
      <protection/>
    </xf>
    <xf numFmtId="0" fontId="15" fillId="0" borderId="18" xfId="0" applyFont="1" applyFill="1" applyBorder="1" applyAlignment="1">
      <alignment vertical="center" wrapText="1"/>
    </xf>
    <xf numFmtId="164" fontId="7" fillId="36" borderId="18" xfId="62" applyNumberFormat="1" applyFont="1" applyFill="1" applyBorder="1" applyAlignment="1">
      <alignment/>
      <protection/>
    </xf>
    <xf numFmtId="0" fontId="7" fillId="33" borderId="142" xfId="60" applyFont="1" applyFill="1" applyBorder="1" applyAlignment="1" quotePrefix="1">
      <alignment horizontal="center" vertical="center"/>
      <protection/>
    </xf>
    <xf numFmtId="0" fontId="7" fillId="33" borderId="128" xfId="60" applyFont="1" applyFill="1" applyBorder="1" applyAlignment="1">
      <alignment horizontal="center" vertical="center"/>
      <protection/>
    </xf>
    <xf numFmtId="49" fontId="15" fillId="0" borderId="112" xfId="0" applyNumberFormat="1" applyFont="1" applyFill="1" applyBorder="1" applyAlignment="1">
      <alignment vertical="center" wrapText="1"/>
    </xf>
    <xf numFmtId="0" fontId="7" fillId="33" borderId="86" xfId="60" applyFont="1" applyFill="1" applyBorder="1" applyAlignment="1" quotePrefix="1">
      <alignment horizontal="center" vertical="center"/>
      <protection/>
    </xf>
    <xf numFmtId="0" fontId="7" fillId="33" borderId="139" xfId="60" applyFont="1" applyFill="1" applyBorder="1" applyAlignment="1">
      <alignment horizontal="center" vertical="center"/>
      <protection/>
    </xf>
    <xf numFmtId="49" fontId="15" fillId="0" borderId="120" xfId="0" applyNumberFormat="1" applyFont="1" applyFill="1" applyBorder="1" applyAlignment="1">
      <alignment vertical="center" wrapText="1"/>
    </xf>
    <xf numFmtId="164" fontId="7" fillId="33" borderId="121" xfId="62" applyNumberFormat="1" applyFont="1" applyFill="1" applyBorder="1" applyAlignment="1">
      <alignment vertical="center"/>
      <protection/>
    </xf>
    <xf numFmtId="164" fontId="7" fillId="36" borderId="122" xfId="61" applyNumberFormat="1" applyFont="1" applyFill="1" applyBorder="1" applyAlignment="1">
      <alignment vertical="center"/>
      <protection/>
    </xf>
    <xf numFmtId="164" fontId="7" fillId="41" borderId="125" xfId="62" applyNumberFormat="1" applyFont="1" applyFill="1" applyBorder="1" applyAlignment="1">
      <alignment vertical="center"/>
      <protection/>
    </xf>
    <xf numFmtId="164" fontId="7" fillId="41" borderId="139" xfId="62" applyNumberFormat="1" applyFont="1" applyFill="1" applyBorder="1" applyAlignment="1" quotePrefix="1">
      <alignment vertical="center"/>
      <protection/>
    </xf>
    <xf numFmtId="164" fontId="7" fillId="41" borderId="65" xfId="62" applyNumberFormat="1" applyFont="1" applyFill="1" applyBorder="1" applyAlignment="1" quotePrefix="1">
      <alignment/>
      <protection/>
    </xf>
    <xf numFmtId="164" fontId="7" fillId="36" borderId="18" xfId="62" applyNumberFormat="1" applyFont="1" applyFill="1" applyBorder="1">
      <alignment/>
      <protection/>
    </xf>
    <xf numFmtId="0" fontId="7" fillId="0" borderId="115" xfId="0" applyFont="1" applyFill="1" applyBorder="1" applyAlignment="1">
      <alignment horizontal="left" vertical="center"/>
    </xf>
    <xf numFmtId="164" fontId="7" fillId="36" borderId="112" xfId="62" applyNumberFormat="1" applyFont="1" applyFill="1" applyBorder="1">
      <alignment/>
      <protection/>
    </xf>
    <xf numFmtId="0" fontId="7" fillId="0" borderId="120" xfId="0" applyFont="1" applyFill="1" applyBorder="1" applyAlignment="1">
      <alignment horizontal="left" vertical="center"/>
    </xf>
    <xf numFmtId="164" fontId="7" fillId="36" borderId="120" xfId="62" applyNumberFormat="1" applyFont="1" applyFill="1" applyBorder="1">
      <alignment/>
      <protection/>
    </xf>
    <xf numFmtId="0" fontId="7" fillId="41" borderId="70" xfId="0" applyFont="1" applyFill="1" applyBorder="1" applyAlignment="1">
      <alignment horizontal="left" vertical="center"/>
    </xf>
    <xf numFmtId="0" fontId="7" fillId="0" borderId="27" xfId="63" applyFont="1" applyBorder="1" applyAlignment="1">
      <alignment horizontal="left"/>
      <protection/>
    </xf>
    <xf numFmtId="0" fontId="7" fillId="41" borderId="86" xfId="58" applyFont="1" applyFill="1" applyBorder="1" applyAlignment="1">
      <alignment horizontal="left"/>
      <protection/>
    </xf>
    <xf numFmtId="0" fontId="7" fillId="41" borderId="129" xfId="58" applyFont="1" applyFill="1" applyBorder="1" applyAlignment="1">
      <alignment horizontal="left"/>
      <protection/>
    </xf>
    <xf numFmtId="49" fontId="7" fillId="0" borderId="79" xfId="0" applyNumberFormat="1" applyFont="1" applyFill="1" applyBorder="1" applyAlignment="1">
      <alignment horizontal="center"/>
    </xf>
    <xf numFmtId="0" fontId="7" fillId="0" borderId="73" xfId="60" applyNumberFormat="1" applyFont="1" applyFill="1" applyBorder="1" applyAlignment="1">
      <alignment horizontal="center"/>
      <protection/>
    </xf>
    <xf numFmtId="0" fontId="7" fillId="41" borderId="69" xfId="0" applyFont="1" applyFill="1" applyBorder="1" applyAlignment="1">
      <alignment horizontal="left"/>
    </xf>
    <xf numFmtId="49" fontId="7" fillId="0" borderId="129" xfId="0" applyNumberFormat="1" applyFont="1" applyFill="1" applyBorder="1" applyAlignment="1">
      <alignment horizontal="center"/>
    </xf>
    <xf numFmtId="0" fontId="7" fillId="33" borderId="126" xfId="60" applyFont="1" applyFill="1" applyBorder="1" applyAlignment="1" quotePrefix="1">
      <alignment horizontal="center"/>
      <protection/>
    </xf>
    <xf numFmtId="0" fontId="7" fillId="0" borderId="142" xfId="60" applyNumberFormat="1" applyFont="1" applyFill="1" applyBorder="1" applyAlignment="1">
      <alignment horizontal="center"/>
      <protection/>
    </xf>
    <xf numFmtId="0" fontId="7" fillId="41" borderId="112" xfId="0" applyFont="1" applyFill="1" applyBorder="1" applyAlignment="1">
      <alignment horizontal="left"/>
    </xf>
    <xf numFmtId="164" fontId="7" fillId="38" borderId="112" xfId="62" applyNumberFormat="1" applyFont="1" applyFill="1" applyBorder="1" applyAlignment="1">
      <alignment vertical="center"/>
      <protection/>
    </xf>
    <xf numFmtId="164" fontId="7" fillId="39" borderId="127" xfId="62" applyNumberFormat="1" applyFont="1" applyFill="1" applyBorder="1" applyAlignment="1">
      <alignment/>
      <protection/>
    </xf>
    <xf numFmtId="164" fontId="7" fillId="39" borderId="128" xfId="62" applyNumberFormat="1" applyFont="1" applyFill="1" applyBorder="1" applyAlignment="1">
      <alignment/>
      <protection/>
    </xf>
    <xf numFmtId="164" fontId="7" fillId="42" borderId="128" xfId="62" applyNumberFormat="1" applyFont="1" applyFill="1" applyBorder="1" applyAlignment="1">
      <alignment/>
      <protection/>
    </xf>
    <xf numFmtId="1" fontId="7" fillId="0" borderId="134" xfId="0" applyNumberFormat="1" applyFont="1" applyFill="1" applyBorder="1" applyAlignment="1">
      <alignment horizontal="center"/>
    </xf>
    <xf numFmtId="0" fontId="7" fillId="33" borderId="131" xfId="60" applyFont="1" applyFill="1" applyBorder="1" applyAlignment="1" quotePrefix="1">
      <alignment horizontal="center"/>
      <protection/>
    </xf>
    <xf numFmtId="0" fontId="7" fillId="0" borderId="86" xfId="60" applyNumberFormat="1" applyFont="1" applyFill="1" applyBorder="1" applyAlignment="1">
      <alignment horizontal="center"/>
      <protection/>
    </xf>
    <xf numFmtId="0" fontId="7" fillId="41" borderId="123" xfId="0" applyFont="1" applyFill="1" applyBorder="1" applyAlignment="1">
      <alignment horizontal="left"/>
    </xf>
    <xf numFmtId="164" fontId="7" fillId="38" borderId="123" xfId="62" applyNumberFormat="1" applyFont="1" applyFill="1" applyBorder="1" applyAlignment="1">
      <alignment vertical="center"/>
      <protection/>
    </xf>
    <xf numFmtId="164" fontId="7" fillId="39" borderId="132" xfId="62" applyNumberFormat="1" applyFont="1" applyFill="1" applyBorder="1" applyAlignment="1">
      <alignment/>
      <protection/>
    </xf>
    <xf numFmtId="164" fontId="7" fillId="39" borderId="133" xfId="62" applyNumberFormat="1" applyFont="1" applyFill="1" applyBorder="1" applyAlignment="1">
      <alignment/>
      <protection/>
    </xf>
    <xf numFmtId="164" fontId="7" fillId="42" borderId="133" xfId="62" applyNumberFormat="1" applyFont="1" applyFill="1" applyBorder="1" applyAlignment="1">
      <alignment/>
      <protection/>
    </xf>
    <xf numFmtId="164" fontId="7" fillId="41" borderId="73" xfId="62" applyNumberFormat="1" applyFont="1" applyFill="1" applyBorder="1" applyAlignment="1">
      <alignment vertical="center"/>
      <protection/>
    </xf>
    <xf numFmtId="164" fontId="7" fillId="41" borderId="142" xfId="62" applyNumberFormat="1" applyFont="1" applyFill="1" applyBorder="1" applyAlignment="1">
      <alignment vertical="center"/>
      <protection/>
    </xf>
    <xf numFmtId="164" fontId="7" fillId="41" borderId="86" xfId="62" applyNumberFormat="1" applyFont="1" applyFill="1" applyBorder="1" applyAlignment="1">
      <alignment vertical="center"/>
      <protection/>
    </xf>
    <xf numFmtId="164" fontId="7" fillId="41" borderId="24" xfId="62" applyNumberFormat="1" applyFont="1" applyFill="1" applyBorder="1" applyAlignment="1">
      <alignment vertical="center"/>
      <protection/>
    </xf>
    <xf numFmtId="164" fontId="7" fillId="41" borderId="0" xfId="62" applyNumberFormat="1" applyFont="1" applyFill="1" applyBorder="1" applyAlignment="1">
      <alignment vertical="center"/>
      <protection/>
    </xf>
    <xf numFmtId="164" fontId="7" fillId="41" borderId="116" xfId="61" applyNumberFormat="1" applyFont="1" applyFill="1" applyBorder="1" applyAlignment="1">
      <alignment vertical="center"/>
      <protection/>
    </xf>
    <xf numFmtId="164" fontId="7" fillId="41" borderId="121" xfId="61" applyNumberFormat="1" applyFont="1" applyFill="1" applyBorder="1" applyAlignment="1">
      <alignment vertical="center"/>
      <protection/>
    </xf>
    <xf numFmtId="164" fontId="7" fillId="41" borderId="140" xfId="62" applyNumberFormat="1" applyFont="1" applyFill="1" applyBorder="1" applyAlignment="1">
      <alignment/>
      <protection/>
    </xf>
    <xf numFmtId="164" fontId="7" fillId="41" borderId="0" xfId="62" applyNumberFormat="1" applyFont="1" applyFill="1" applyBorder="1" applyAlignment="1">
      <alignment/>
      <protection/>
    </xf>
    <xf numFmtId="164" fontId="7" fillId="41" borderId="109" xfId="62" applyNumberFormat="1" applyFont="1" applyFill="1" applyBorder="1" applyAlignment="1">
      <alignment horizontal="right"/>
      <protection/>
    </xf>
    <xf numFmtId="164" fontId="7" fillId="41" borderId="65" xfId="62" applyNumberFormat="1" applyFont="1" applyFill="1" applyBorder="1" applyAlignment="1">
      <alignment vertical="center"/>
      <protection/>
    </xf>
    <xf numFmtId="164" fontId="7" fillId="41" borderId="81" xfId="62" applyNumberFormat="1" applyFont="1" applyFill="1" applyBorder="1" applyAlignment="1">
      <alignment vertical="center"/>
      <protection/>
    </xf>
    <xf numFmtId="164" fontId="7" fillId="41" borderId="119" xfId="60" applyNumberFormat="1" applyFont="1" applyFill="1" applyBorder="1" applyAlignment="1">
      <alignment vertical="center"/>
      <protection/>
    </xf>
    <xf numFmtId="164" fontId="7" fillId="41" borderId="125" xfId="60" applyNumberFormat="1" applyFont="1" applyFill="1" applyBorder="1" applyAlignment="1">
      <alignment vertical="center"/>
      <protection/>
    </xf>
    <xf numFmtId="164" fontId="7" fillId="41" borderId="126" xfId="60" applyNumberFormat="1" applyFont="1" applyFill="1" applyBorder="1" applyAlignment="1">
      <alignment vertical="center"/>
      <protection/>
    </xf>
    <xf numFmtId="164" fontId="7" fillId="41" borderId="65" xfId="60" applyNumberFormat="1" applyFont="1" applyFill="1" applyBorder="1" applyAlignment="1">
      <alignment vertical="center"/>
      <protection/>
    </xf>
    <xf numFmtId="164" fontId="7" fillId="41" borderId="131" xfId="60" applyNumberFormat="1" applyFont="1" applyFill="1" applyBorder="1" applyAlignment="1">
      <alignment vertical="center"/>
      <protection/>
    </xf>
    <xf numFmtId="164" fontId="7" fillId="41" borderId="81" xfId="60" applyNumberFormat="1" applyFont="1" applyFill="1" applyBorder="1" applyAlignment="1">
      <alignment vertical="center"/>
      <protection/>
    </xf>
    <xf numFmtId="164" fontId="7" fillId="41" borderId="65" xfId="60" applyNumberFormat="1" applyFont="1" applyFill="1" applyBorder="1" applyAlignment="1">
      <alignment horizontal="right"/>
      <protection/>
    </xf>
    <xf numFmtId="164" fontId="7" fillId="41" borderId="83" xfId="60" applyNumberFormat="1" applyFont="1" applyFill="1" applyBorder="1" applyAlignment="1">
      <alignment horizontal="right"/>
      <protection/>
    </xf>
    <xf numFmtId="164" fontId="7" fillId="41" borderId="109" xfId="62" applyNumberFormat="1" applyFont="1" applyFill="1" applyBorder="1" applyAlignment="1">
      <alignment/>
      <protection/>
    </xf>
    <xf numFmtId="164" fontId="7" fillId="41" borderId="130" xfId="62" applyNumberFormat="1" applyFont="1" applyFill="1" applyBorder="1" applyAlignment="1">
      <alignment vertical="center"/>
      <protection/>
    </xf>
    <xf numFmtId="164" fontId="7" fillId="41" borderId="121" xfId="62" applyNumberFormat="1" applyFont="1" applyFill="1" applyBorder="1" applyAlignment="1">
      <alignment vertical="center"/>
      <protection/>
    </xf>
    <xf numFmtId="164" fontId="7" fillId="41" borderId="131" xfId="62" applyNumberFormat="1" applyFont="1" applyFill="1" applyBorder="1" applyAlignment="1">
      <alignment vertical="center"/>
      <protection/>
    </xf>
    <xf numFmtId="164" fontId="7" fillId="41" borderId="128" xfId="62" applyNumberFormat="1" applyFont="1" applyFill="1" applyBorder="1" applyAlignment="1" quotePrefix="1">
      <alignment/>
      <protection/>
    </xf>
    <xf numFmtId="164" fontId="7" fillId="41" borderId="133" xfId="62" applyNumberFormat="1" applyFont="1" applyFill="1" applyBorder="1" applyAlignment="1" quotePrefix="1">
      <alignment/>
      <protection/>
    </xf>
    <xf numFmtId="0" fontId="15" fillId="0" borderId="129" xfId="0" applyFont="1" applyFill="1" applyBorder="1" applyAlignment="1">
      <alignment horizontal="center"/>
    </xf>
    <xf numFmtId="164" fontId="7" fillId="36" borderId="112" xfId="62" applyNumberFormat="1" applyFont="1" applyFill="1" applyBorder="1" applyAlignment="1">
      <alignment/>
      <protection/>
    </xf>
    <xf numFmtId="0" fontId="15" fillId="0" borderId="123" xfId="0" applyFont="1" applyFill="1" applyBorder="1" applyAlignment="1">
      <alignment vertical="center" wrapText="1"/>
    </xf>
    <xf numFmtId="164" fontId="7" fillId="36" borderId="123" xfId="62" applyNumberFormat="1" applyFont="1" applyFill="1" applyBorder="1" applyAlignment="1">
      <alignment/>
      <protection/>
    </xf>
    <xf numFmtId="164" fontId="7" fillId="36" borderId="141" xfId="62" applyNumberFormat="1" applyFont="1" applyFill="1" applyBorder="1" applyAlignment="1">
      <alignment vertical="center"/>
      <protection/>
    </xf>
    <xf numFmtId="164" fontId="7" fillId="36" borderId="144" xfId="62" applyNumberFormat="1" applyFont="1" applyFill="1" applyBorder="1" applyAlignment="1">
      <alignment vertical="center"/>
      <protection/>
    </xf>
    <xf numFmtId="49" fontId="15" fillId="0" borderId="124" xfId="0" applyNumberFormat="1" applyFont="1" applyFill="1" applyBorder="1" applyAlignment="1">
      <alignment horizontal="center" vertical="center"/>
    </xf>
    <xf numFmtId="49" fontId="7" fillId="0" borderId="17" xfId="60" applyNumberFormat="1" applyFont="1" applyFill="1" applyBorder="1" applyAlignment="1">
      <alignment horizontal="center"/>
      <protection/>
    </xf>
    <xf numFmtId="49" fontId="7" fillId="0" borderId="128" xfId="60" applyNumberFormat="1" applyFont="1" applyFill="1" applyBorder="1" applyAlignment="1">
      <alignment horizontal="center"/>
      <protection/>
    </xf>
    <xf numFmtId="0" fontId="7" fillId="0" borderId="126" xfId="0" applyFont="1" applyFill="1" applyBorder="1" applyAlignment="1">
      <alignment horizontal="left" vertical="center"/>
    </xf>
    <xf numFmtId="49" fontId="7" fillId="33" borderId="139" xfId="60" applyNumberFormat="1" applyFont="1" applyFill="1" applyBorder="1" applyAlignment="1">
      <alignment horizontal="center"/>
      <protection/>
    </xf>
    <xf numFmtId="0" fontId="7" fillId="0" borderId="146" xfId="60" applyFont="1" applyBorder="1" applyAlignment="1">
      <alignment/>
      <protection/>
    </xf>
    <xf numFmtId="0" fontId="15" fillId="0" borderId="115" xfId="0" applyFont="1" applyFill="1" applyBorder="1" applyAlignment="1">
      <alignment horizontal="left" vertical="center"/>
    </xf>
    <xf numFmtId="49" fontId="7" fillId="0" borderId="118" xfId="60" applyNumberFormat="1" applyFont="1" applyBorder="1" applyAlignment="1">
      <alignment horizontal="center"/>
      <protection/>
    </xf>
    <xf numFmtId="0" fontId="7" fillId="33" borderId="115" xfId="60" applyFont="1" applyFill="1" applyBorder="1" applyAlignment="1" quotePrefix="1">
      <alignment horizontal="center"/>
      <protection/>
    </xf>
    <xf numFmtId="0" fontId="7" fillId="33" borderId="116" xfId="60" applyNumberFormat="1" applyFont="1" applyFill="1" applyBorder="1" applyAlignment="1">
      <alignment horizontal="center"/>
      <protection/>
    </xf>
    <xf numFmtId="0" fontId="7" fillId="33" borderId="137" xfId="60" applyFont="1" applyFill="1" applyBorder="1" applyAlignment="1">
      <alignment horizontal="center"/>
      <protection/>
    </xf>
    <xf numFmtId="164" fontId="7" fillId="36" borderId="115" xfId="62" applyNumberFormat="1" applyFont="1" applyFill="1" applyBorder="1" applyAlignment="1">
      <alignment/>
      <protection/>
    </xf>
    <xf numFmtId="164" fontId="7" fillId="33" borderId="137" xfId="62" applyNumberFormat="1" applyFont="1" applyFill="1" applyBorder="1" applyAlignment="1" quotePrefix="1">
      <alignment horizontal="right"/>
      <protection/>
    </xf>
    <xf numFmtId="164" fontId="7" fillId="36" borderId="117" xfId="61" applyNumberFormat="1" applyFont="1" applyFill="1" applyBorder="1" applyAlignment="1">
      <alignment vertical="center"/>
      <protection/>
    </xf>
    <xf numFmtId="0" fontId="7" fillId="33" borderId="121" xfId="60" applyNumberFormat="1" applyFont="1" applyFill="1" applyBorder="1" applyAlignment="1">
      <alignment horizontal="center"/>
      <protection/>
    </xf>
    <xf numFmtId="164" fontId="7" fillId="36" borderId="120" xfId="62" applyNumberFormat="1" applyFont="1" applyFill="1" applyBorder="1" applyAlignment="1">
      <alignment/>
      <protection/>
    </xf>
    <xf numFmtId="164" fontId="7" fillId="41" borderId="139" xfId="62" applyNumberFormat="1" applyFont="1" applyFill="1" applyBorder="1" applyAlignment="1" quotePrefix="1">
      <alignment/>
      <protection/>
    </xf>
    <xf numFmtId="0" fontId="15" fillId="0" borderId="70" xfId="0" applyFont="1" applyFill="1" applyBorder="1" applyAlignment="1">
      <alignment horizontal="left" vertical="center"/>
    </xf>
    <xf numFmtId="0" fontId="15" fillId="41" borderId="141" xfId="0" applyFont="1" applyFill="1" applyBorder="1" applyAlignment="1">
      <alignment horizontal="left" vertical="center"/>
    </xf>
    <xf numFmtId="0" fontId="15" fillId="41" borderId="144" xfId="0" applyFont="1" applyFill="1" applyBorder="1" applyAlignment="1">
      <alignment horizontal="left" vertical="center"/>
    </xf>
    <xf numFmtId="164" fontId="7" fillId="33" borderId="128" xfId="62" applyNumberFormat="1" applyFont="1" applyFill="1" applyBorder="1" applyAlignment="1" quotePrefix="1">
      <alignment horizontal="right"/>
      <protection/>
    </xf>
    <xf numFmtId="49" fontId="15" fillId="0" borderId="129" xfId="0" applyNumberFormat="1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left"/>
    </xf>
    <xf numFmtId="164" fontId="7" fillId="36" borderId="143" xfId="61" applyNumberFormat="1" applyFont="1" applyFill="1" applyBorder="1" applyAlignment="1">
      <alignment/>
      <protection/>
    </xf>
    <xf numFmtId="164" fontId="7" fillId="41" borderId="137" xfId="62" applyNumberFormat="1" applyFont="1" applyFill="1" applyBorder="1" applyAlignment="1" quotePrefix="1">
      <alignment/>
      <protection/>
    </xf>
    <xf numFmtId="49" fontId="15" fillId="0" borderId="67" xfId="0" applyNumberFormat="1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vertical="center" wrapText="1"/>
    </xf>
    <xf numFmtId="49" fontId="15" fillId="0" borderId="134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center" vertical="center"/>
    </xf>
    <xf numFmtId="164" fontId="7" fillId="36" borderId="55" xfId="61" applyNumberFormat="1" applyFont="1" applyFill="1" applyBorder="1" applyAlignment="1">
      <alignment/>
      <protection/>
    </xf>
    <xf numFmtId="164" fontId="7" fillId="41" borderId="139" xfId="62" applyNumberFormat="1" applyFont="1" applyFill="1" applyBorder="1" applyAlignment="1" quotePrefix="1">
      <alignment horizontal="right"/>
      <protection/>
    </xf>
    <xf numFmtId="0" fontId="7" fillId="41" borderId="67" xfId="0" applyFont="1" applyFill="1" applyBorder="1" applyAlignment="1">
      <alignment horizontal="left"/>
    </xf>
    <xf numFmtId="0" fontId="8" fillId="33" borderId="105" xfId="62" applyFont="1" applyFill="1" applyBorder="1" applyAlignment="1" quotePrefix="1">
      <alignment horizontal="center"/>
      <protection/>
    </xf>
    <xf numFmtId="0" fontId="9" fillId="0" borderId="80" xfId="63" applyFont="1" applyBorder="1" applyAlignment="1">
      <alignment horizontal="center"/>
      <protection/>
    </xf>
    <xf numFmtId="0" fontId="8" fillId="33" borderId="80" xfId="62" applyFont="1" applyFill="1" applyBorder="1" applyAlignment="1">
      <alignment horizontal="center"/>
      <protection/>
    </xf>
  </cellXfs>
  <cellStyles count="71">
    <cellStyle name="Normal" xfId="0"/>
    <cellStyle name="_PERSONAL" xfId="15"/>
    <cellStyle name="_PERSONAL_1" xfId="16"/>
    <cellStyle name="_PERSONAL_1_laroux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 [0]_laroux" xfId="37"/>
    <cellStyle name="Comma_laroux" xfId="38"/>
    <cellStyle name="Currency [0]_laroux" xfId="39"/>
    <cellStyle name="Currency_laroux" xfId="40"/>
    <cellStyle name="Comma" xfId="41"/>
    <cellStyle name="Čárka 2" xfId="42"/>
    <cellStyle name="Comma [0]" xfId="43"/>
    <cellStyle name="Dziesiętny [0]_laroux" xfId="44"/>
    <cellStyle name="Dziesiętny_laroux" xfId="45"/>
    <cellStyle name="Hyperlink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_laroux" xfId="57"/>
    <cellStyle name="Normální 2" xfId="58"/>
    <cellStyle name="Normální 3" xfId="59"/>
    <cellStyle name="normální_čerp.A4_čerpání investic+ MHMP 2007" xfId="60"/>
    <cellStyle name="normální_čerp.A4_čerpání+výhled+MHMP 02,03" xfId="61"/>
    <cellStyle name="normální_Invest98" xfId="62"/>
    <cellStyle name="normální_List1" xfId="63"/>
    <cellStyle name="Normalny_laroux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Styl 1" xfId="71"/>
    <cellStyle name="Text upozornění" xfId="72"/>
    <cellStyle name="Vstup" xfId="73"/>
    <cellStyle name="Výpočet" xfId="74"/>
    <cellStyle name="Výstup" xfId="75"/>
    <cellStyle name="Vysvětlující text" xfId="76"/>
    <cellStyle name="Walutowy [0]_laroux" xfId="77"/>
    <cellStyle name="Walutowy_laroux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T18" sqref="T18"/>
    </sheetView>
  </sheetViews>
  <sheetFormatPr defaultColWidth="9.140625" defaultRowHeight="12.75"/>
  <cols>
    <col min="1" max="1" width="12.8515625" style="0" customWidth="1"/>
    <col min="2" max="2" width="6.140625" style="0" customWidth="1"/>
    <col min="3" max="3" width="6.28125" style="0" customWidth="1"/>
    <col min="4" max="4" width="9.7109375" style="0" customWidth="1"/>
    <col min="5" max="5" width="59.140625" style="0" customWidth="1"/>
    <col min="6" max="6" width="9.140625" style="0" customWidth="1"/>
    <col min="7" max="9" width="9.140625" style="0" hidden="1" customWidth="1"/>
    <col min="10" max="10" width="10.140625" style="0" customWidth="1"/>
    <col min="11" max="13" width="9.140625" style="0" hidden="1" customWidth="1"/>
    <col min="15" max="17" width="9.140625" style="0" hidden="1" customWidth="1"/>
    <col min="18" max="18" width="10.7109375" style="0" customWidth="1"/>
  </cols>
  <sheetData>
    <row r="1" spans="1:18" ht="12.75">
      <c r="A1" s="215" t="s">
        <v>19</v>
      </c>
      <c r="B1" s="3"/>
      <c r="C1" s="3"/>
      <c r="D1" s="6"/>
      <c r="E1" s="216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313</v>
      </c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2"/>
    </row>
    <row r="3" spans="1:18" ht="16.5" thickBot="1">
      <c r="A3" s="315" t="s">
        <v>90</v>
      </c>
      <c r="B3" s="5"/>
      <c r="C3" s="5"/>
      <c r="D3" s="6"/>
      <c r="E3" s="5"/>
      <c r="F3" s="5"/>
      <c r="G3" s="5"/>
      <c r="H3" s="5"/>
      <c r="I3" s="7"/>
      <c r="J3" s="5"/>
      <c r="K3" s="5"/>
      <c r="L3" s="5"/>
      <c r="M3" s="5"/>
      <c r="N3" s="217"/>
      <c r="O3" s="217"/>
      <c r="P3" s="331" t="s">
        <v>20</v>
      </c>
      <c r="Q3" s="331"/>
      <c r="R3" s="2" t="s">
        <v>312</v>
      </c>
    </row>
    <row r="4" spans="1:18" ht="13.5" thickTop="1">
      <c r="A4" s="8"/>
      <c r="B4" s="9"/>
      <c r="C4" s="10"/>
      <c r="D4" s="11"/>
      <c r="E4" s="12"/>
      <c r="F4" s="13" t="s">
        <v>3</v>
      </c>
      <c r="G4" s="14" t="s">
        <v>40</v>
      </c>
      <c r="H4" s="14"/>
      <c r="I4" s="15"/>
      <c r="J4" s="16" t="s">
        <v>4</v>
      </c>
      <c r="K4" s="983" t="s">
        <v>5</v>
      </c>
      <c r="L4" s="984"/>
      <c r="M4" s="984"/>
      <c r="N4" s="192" t="s">
        <v>1</v>
      </c>
      <c r="O4" s="985" t="s">
        <v>2</v>
      </c>
      <c r="P4" s="985"/>
      <c r="Q4" s="985"/>
      <c r="R4" s="316" t="s">
        <v>53</v>
      </c>
    </row>
    <row r="5" spans="1:18" ht="12.75">
      <c r="A5" s="17" t="s">
        <v>21</v>
      </c>
      <c r="B5" s="167" t="s">
        <v>29</v>
      </c>
      <c r="C5" s="168" t="s">
        <v>30</v>
      </c>
      <c r="D5" s="18" t="s">
        <v>6</v>
      </c>
      <c r="E5" s="19" t="s">
        <v>7</v>
      </c>
      <c r="F5" s="20" t="s">
        <v>241</v>
      </c>
      <c r="G5" s="21" t="s">
        <v>34</v>
      </c>
      <c r="H5" s="21" t="s">
        <v>8</v>
      </c>
      <c r="I5" s="22" t="s">
        <v>36</v>
      </c>
      <c r="J5" s="20" t="s">
        <v>241</v>
      </c>
      <c r="K5" s="21" t="s">
        <v>34</v>
      </c>
      <c r="L5" s="21" t="s">
        <v>33</v>
      </c>
      <c r="M5" s="23" t="s">
        <v>36</v>
      </c>
      <c r="N5" s="193" t="s">
        <v>67</v>
      </c>
      <c r="O5" s="189" t="s">
        <v>34</v>
      </c>
      <c r="P5" s="21" t="s">
        <v>33</v>
      </c>
      <c r="Q5" s="21" t="s">
        <v>36</v>
      </c>
      <c r="R5" s="317" t="s">
        <v>51</v>
      </c>
    </row>
    <row r="6" spans="1:18" ht="12.75">
      <c r="A6" s="24" t="s">
        <v>28</v>
      </c>
      <c r="B6" s="25"/>
      <c r="C6" s="26"/>
      <c r="D6" s="27"/>
      <c r="E6" s="28"/>
      <c r="F6" s="29" t="s">
        <v>9</v>
      </c>
      <c r="G6" s="30" t="s">
        <v>10</v>
      </c>
      <c r="H6" s="30" t="s">
        <v>35</v>
      </c>
      <c r="I6" s="31" t="s">
        <v>37</v>
      </c>
      <c r="J6" s="32" t="s">
        <v>9</v>
      </c>
      <c r="K6" s="30" t="s">
        <v>10</v>
      </c>
      <c r="L6" s="30" t="s">
        <v>35</v>
      </c>
      <c r="M6" s="33" t="s">
        <v>38</v>
      </c>
      <c r="N6" s="194">
        <v>2020</v>
      </c>
      <c r="O6" s="190" t="s">
        <v>10</v>
      </c>
      <c r="P6" s="30" t="s">
        <v>35</v>
      </c>
      <c r="Q6" s="30" t="s">
        <v>39</v>
      </c>
      <c r="R6" s="318" t="s">
        <v>52</v>
      </c>
    </row>
    <row r="7" spans="1:18" ht="13.5" thickBot="1">
      <c r="A7" s="242" t="s">
        <v>23</v>
      </c>
      <c r="B7" s="34"/>
      <c r="C7" s="34"/>
      <c r="D7" s="34"/>
      <c r="E7" s="34"/>
      <c r="F7" s="35"/>
      <c r="G7" s="36"/>
      <c r="H7" s="36"/>
      <c r="I7" s="35"/>
      <c r="J7" s="35"/>
      <c r="K7" s="35"/>
      <c r="L7" s="35"/>
      <c r="M7" s="35"/>
      <c r="N7" s="277"/>
      <c r="O7" s="277"/>
      <c r="P7" s="277"/>
      <c r="Q7" s="277"/>
      <c r="R7" s="319"/>
    </row>
    <row r="8" spans="1:18" ht="13.5" thickBot="1">
      <c r="A8" s="37"/>
      <c r="B8" s="38"/>
      <c r="C8" s="38"/>
      <c r="D8" s="39"/>
      <c r="E8" s="40" t="s">
        <v>11</v>
      </c>
      <c r="F8" s="147">
        <f aca="true" t="shared" si="0" ref="F8:F13">SUM(G8:I8)</f>
        <v>18760</v>
      </c>
      <c r="G8" s="148">
        <f>SUM(G9:G23)</f>
        <v>18600</v>
      </c>
      <c r="H8" s="148">
        <f>SUM(H9:H23)</f>
        <v>0</v>
      </c>
      <c r="I8" s="148">
        <f>SUM(I9:I23)</f>
        <v>160</v>
      </c>
      <c r="J8" s="149">
        <f aca="true" t="shared" si="1" ref="J8:J23">SUM(K8:M8)</f>
        <v>11761</v>
      </c>
      <c r="K8" s="150">
        <f>SUM(K9:K23)</f>
        <v>11601</v>
      </c>
      <c r="L8" s="150">
        <f>SUM(L9:L23)</f>
        <v>0</v>
      </c>
      <c r="M8" s="150">
        <f>SUM(M9:M23)</f>
        <v>160</v>
      </c>
      <c r="N8" s="195">
        <f>SUM(O8:Q8)</f>
        <v>6159.570000000001</v>
      </c>
      <c r="O8" s="191">
        <f>SUM(O9:O23)</f>
        <v>6159.570000000001</v>
      </c>
      <c r="P8" s="191">
        <f>SUM(P9:P23)</f>
        <v>0</v>
      </c>
      <c r="Q8" s="191">
        <f>SUM(Q9:Q23)</f>
        <v>0</v>
      </c>
      <c r="R8" s="320">
        <f>SUM(N8/J8)</f>
        <v>0.5237284244537029</v>
      </c>
    </row>
    <row r="9" spans="1:18" ht="13.5" customHeight="1" thickTop="1">
      <c r="A9" s="221" t="s">
        <v>55</v>
      </c>
      <c r="B9" s="567">
        <v>3636</v>
      </c>
      <c r="C9" s="229" t="s">
        <v>45</v>
      </c>
      <c r="D9" s="311">
        <v>210</v>
      </c>
      <c r="E9" s="577" t="s">
        <v>91</v>
      </c>
      <c r="F9" s="568">
        <f t="shared" si="0"/>
        <v>1500</v>
      </c>
      <c r="G9" s="569">
        <v>1500</v>
      </c>
      <c r="H9" s="570"/>
      <c r="I9" s="570"/>
      <c r="J9" s="571">
        <f>SUM(K9:M9)</f>
        <v>500</v>
      </c>
      <c r="K9" s="572">
        <f>1500-1000</f>
        <v>500</v>
      </c>
      <c r="L9" s="573"/>
      <c r="M9" s="574"/>
      <c r="N9" s="568">
        <f>SUM(O9:Q9)</f>
        <v>42.35</v>
      </c>
      <c r="O9" s="928">
        <v>42.35</v>
      </c>
      <c r="P9" s="575"/>
      <c r="Q9" s="576"/>
      <c r="R9" s="321"/>
    </row>
    <row r="10" spans="1:18" ht="13.5" customHeight="1">
      <c r="A10" s="606" t="s">
        <v>234</v>
      </c>
      <c r="B10" s="564">
        <v>3636</v>
      </c>
      <c r="C10" s="565" t="s">
        <v>45</v>
      </c>
      <c r="D10" s="566">
        <v>10</v>
      </c>
      <c r="E10" s="392" t="s">
        <v>235</v>
      </c>
      <c r="F10" s="171">
        <f t="shared" si="0"/>
        <v>0</v>
      </c>
      <c r="G10" s="219">
        <v>0</v>
      </c>
      <c r="H10" s="295"/>
      <c r="I10" s="295"/>
      <c r="J10" s="220">
        <f>SUM(K10:M10)</f>
        <v>200</v>
      </c>
      <c r="K10" s="295">
        <f>100+100</f>
        <v>200</v>
      </c>
      <c r="L10" s="296"/>
      <c r="M10" s="383"/>
      <c r="N10" s="171">
        <f>SUM(O10:Q10)</f>
        <v>136.29</v>
      </c>
      <c r="O10" s="467">
        <v>136.29</v>
      </c>
      <c r="P10" s="292"/>
      <c r="Q10" s="493"/>
      <c r="R10" s="322"/>
    </row>
    <row r="11" spans="1:18" ht="13.5" customHeight="1">
      <c r="A11" s="606" t="s">
        <v>56</v>
      </c>
      <c r="B11" s="564">
        <v>3636</v>
      </c>
      <c r="C11" s="565" t="s">
        <v>45</v>
      </c>
      <c r="D11" s="566">
        <v>210</v>
      </c>
      <c r="E11" s="392" t="s">
        <v>92</v>
      </c>
      <c r="F11" s="171">
        <f t="shared" si="0"/>
        <v>2500</v>
      </c>
      <c r="G11" s="219">
        <v>2500</v>
      </c>
      <c r="H11" s="295"/>
      <c r="I11" s="295"/>
      <c r="J11" s="220">
        <f>SUM(K11:M11)</f>
        <v>1500</v>
      </c>
      <c r="K11" s="295">
        <f>2500-1000</f>
        <v>1500</v>
      </c>
      <c r="L11" s="296"/>
      <c r="M11" s="383"/>
      <c r="N11" s="171">
        <f>SUM(O11:Q11)</f>
        <v>169.4</v>
      </c>
      <c r="O11" s="467">
        <v>169.4</v>
      </c>
      <c r="P11" s="292"/>
      <c r="Q11" s="493"/>
      <c r="R11" s="322"/>
    </row>
    <row r="12" spans="1:18" ht="13.5" customHeight="1">
      <c r="A12" s="607" t="s">
        <v>68</v>
      </c>
      <c r="B12" s="578">
        <v>3636</v>
      </c>
      <c r="C12" s="231" t="s">
        <v>45</v>
      </c>
      <c r="D12" s="579">
        <v>210</v>
      </c>
      <c r="E12" s="518" t="s">
        <v>93</v>
      </c>
      <c r="F12" s="174">
        <f t="shared" si="0"/>
        <v>1000</v>
      </c>
      <c r="G12" s="211">
        <v>1000</v>
      </c>
      <c r="H12" s="293"/>
      <c r="I12" s="293"/>
      <c r="J12" s="164">
        <f>SUM(K12:M12)</f>
        <v>0</v>
      </c>
      <c r="K12" s="293">
        <f>1000-1000</f>
        <v>0</v>
      </c>
      <c r="L12" s="294"/>
      <c r="M12" s="384"/>
      <c r="N12" s="174">
        <f>SUM(O12:Q12)</f>
        <v>0</v>
      </c>
      <c r="O12" s="290">
        <v>0</v>
      </c>
      <c r="P12" s="291"/>
      <c r="Q12" s="386"/>
      <c r="R12" s="322"/>
    </row>
    <row r="13" spans="1:18" ht="13.5" customHeight="1">
      <c r="A13" s="213" t="s">
        <v>69</v>
      </c>
      <c r="B13" s="345">
        <v>3636</v>
      </c>
      <c r="C13" s="282" t="s">
        <v>45</v>
      </c>
      <c r="D13" s="346">
        <v>210</v>
      </c>
      <c r="E13" s="392" t="s">
        <v>94</v>
      </c>
      <c r="F13" s="344">
        <f t="shared" si="0"/>
        <v>1500</v>
      </c>
      <c r="G13" s="347">
        <v>1500</v>
      </c>
      <c r="H13" s="348"/>
      <c r="I13" s="348"/>
      <c r="J13" s="349">
        <f t="shared" si="1"/>
        <v>1000</v>
      </c>
      <c r="K13" s="350">
        <f>1500-500</f>
        <v>1000</v>
      </c>
      <c r="L13" s="351"/>
      <c r="M13" s="385"/>
      <c r="N13" s="344">
        <f aca="true" t="shared" si="2" ref="N13:N23">SUM(O13:Q13)</f>
        <v>576.77</v>
      </c>
      <c r="O13" s="929">
        <v>576.77</v>
      </c>
      <c r="P13" s="352"/>
      <c r="Q13" s="387"/>
      <c r="R13" s="322"/>
    </row>
    <row r="14" spans="1:18" ht="13.5" customHeight="1">
      <c r="A14" s="222" t="s">
        <v>64</v>
      </c>
      <c r="B14" s="310">
        <v>3636</v>
      </c>
      <c r="C14" s="208" t="s">
        <v>45</v>
      </c>
      <c r="D14" s="43">
        <v>210</v>
      </c>
      <c r="E14" s="392" t="s">
        <v>95</v>
      </c>
      <c r="F14" s="174">
        <f aca="true" t="shared" si="3" ref="F14:F23">SUM(G14:I14)</f>
        <v>2800</v>
      </c>
      <c r="G14" s="211">
        <v>2800</v>
      </c>
      <c r="H14" s="165"/>
      <c r="I14" s="165"/>
      <c r="J14" s="164">
        <f t="shared" si="1"/>
        <v>2000</v>
      </c>
      <c r="K14" s="293">
        <f>2800-800</f>
        <v>2000</v>
      </c>
      <c r="L14" s="294"/>
      <c r="M14" s="384"/>
      <c r="N14" s="174">
        <f t="shared" si="2"/>
        <v>1048.47</v>
      </c>
      <c r="O14" s="290">
        <v>1048.47</v>
      </c>
      <c r="P14" s="291"/>
      <c r="Q14" s="386"/>
      <c r="R14" s="322"/>
    </row>
    <row r="15" spans="1:18" ht="13.5" customHeight="1">
      <c r="A15" s="222" t="s">
        <v>57</v>
      </c>
      <c r="B15" s="310">
        <v>3636</v>
      </c>
      <c r="C15" s="208" t="s">
        <v>45</v>
      </c>
      <c r="D15" s="43">
        <v>210</v>
      </c>
      <c r="E15" s="392" t="s">
        <v>96</v>
      </c>
      <c r="F15" s="174">
        <f t="shared" si="3"/>
        <v>160</v>
      </c>
      <c r="G15" s="211"/>
      <c r="H15" s="165"/>
      <c r="I15" s="165">
        <v>160</v>
      </c>
      <c r="J15" s="164">
        <f>SUM(K15:M15)</f>
        <v>160</v>
      </c>
      <c r="K15" s="293"/>
      <c r="L15" s="293"/>
      <c r="M15" s="384">
        <v>160</v>
      </c>
      <c r="N15" s="174">
        <f>SUM(O15:Q15)</f>
        <v>0</v>
      </c>
      <c r="O15" s="290"/>
      <c r="P15" s="491"/>
      <c r="Q15" s="386">
        <v>0</v>
      </c>
      <c r="R15" s="322"/>
    </row>
    <row r="16" spans="1:18" ht="13.5" customHeight="1">
      <c r="A16" s="213" t="s">
        <v>102</v>
      </c>
      <c r="B16" s="345">
        <v>3636</v>
      </c>
      <c r="C16" s="282" t="s">
        <v>45</v>
      </c>
      <c r="D16" s="346">
        <v>210</v>
      </c>
      <c r="E16" s="392" t="s">
        <v>97</v>
      </c>
      <c r="F16" s="344">
        <f t="shared" si="3"/>
        <v>2500</v>
      </c>
      <c r="G16" s="347">
        <v>2500</v>
      </c>
      <c r="H16" s="348"/>
      <c r="I16" s="348"/>
      <c r="J16" s="349">
        <f t="shared" si="1"/>
        <v>0</v>
      </c>
      <c r="K16" s="350">
        <f>2500-2500</f>
        <v>0</v>
      </c>
      <c r="L16" s="351"/>
      <c r="M16" s="385"/>
      <c r="N16" s="344">
        <f t="shared" si="2"/>
        <v>0</v>
      </c>
      <c r="O16" s="929">
        <v>0</v>
      </c>
      <c r="P16" s="352"/>
      <c r="Q16" s="387"/>
      <c r="R16" s="322"/>
    </row>
    <row r="17" spans="1:18" ht="13.5" customHeight="1">
      <c r="A17" s="222" t="s">
        <v>103</v>
      </c>
      <c r="B17" s="310">
        <v>3636</v>
      </c>
      <c r="C17" s="208" t="s">
        <v>45</v>
      </c>
      <c r="D17" s="43">
        <v>210</v>
      </c>
      <c r="E17" s="392" t="s">
        <v>98</v>
      </c>
      <c r="F17" s="174">
        <f t="shared" si="3"/>
        <v>2000</v>
      </c>
      <c r="G17" s="211">
        <v>2000</v>
      </c>
      <c r="H17" s="165"/>
      <c r="I17" s="165"/>
      <c r="J17" s="164">
        <f t="shared" si="1"/>
        <v>1000</v>
      </c>
      <c r="K17" s="293">
        <f>2000-1000</f>
        <v>1000</v>
      </c>
      <c r="L17" s="294"/>
      <c r="M17" s="384"/>
      <c r="N17" s="174">
        <f t="shared" si="2"/>
        <v>617.38</v>
      </c>
      <c r="O17" s="290">
        <v>617.38</v>
      </c>
      <c r="P17" s="291"/>
      <c r="Q17" s="386"/>
      <c r="R17" s="322"/>
    </row>
    <row r="18" spans="1:18" ht="13.5" customHeight="1">
      <c r="A18" s="222" t="s">
        <v>58</v>
      </c>
      <c r="B18" s="310">
        <v>3636</v>
      </c>
      <c r="C18" s="208" t="s">
        <v>45</v>
      </c>
      <c r="D18" s="43">
        <v>210</v>
      </c>
      <c r="E18" s="392" t="s">
        <v>99</v>
      </c>
      <c r="F18" s="174">
        <f t="shared" si="3"/>
        <v>800</v>
      </c>
      <c r="G18" s="211">
        <v>800</v>
      </c>
      <c r="H18" s="165"/>
      <c r="I18" s="165"/>
      <c r="J18" s="164">
        <f>SUM(K18:M18)</f>
        <v>0</v>
      </c>
      <c r="K18" s="293">
        <f>800-800</f>
        <v>0</v>
      </c>
      <c r="L18" s="294"/>
      <c r="M18" s="384"/>
      <c r="N18" s="174">
        <f>SUM(O18:Q18)</f>
        <v>0</v>
      </c>
      <c r="O18" s="290">
        <v>0</v>
      </c>
      <c r="P18" s="291"/>
      <c r="Q18" s="386"/>
      <c r="R18" s="322"/>
    </row>
    <row r="19" spans="1:18" ht="13.5" customHeight="1">
      <c r="A19" s="213" t="s">
        <v>104</v>
      </c>
      <c r="B19" s="345">
        <v>3636</v>
      </c>
      <c r="C19" s="282" t="s">
        <v>45</v>
      </c>
      <c r="D19" s="346">
        <v>210</v>
      </c>
      <c r="E19" s="392" t="s">
        <v>100</v>
      </c>
      <c r="F19" s="344">
        <f t="shared" si="3"/>
        <v>3500</v>
      </c>
      <c r="G19" s="347">
        <v>3500</v>
      </c>
      <c r="H19" s="348"/>
      <c r="I19" s="348"/>
      <c r="J19" s="349">
        <f t="shared" si="1"/>
        <v>3117</v>
      </c>
      <c r="K19" s="350">
        <f>3500-383</f>
        <v>3117</v>
      </c>
      <c r="L19" s="351"/>
      <c r="M19" s="385"/>
      <c r="N19" s="344">
        <f t="shared" si="2"/>
        <v>1925.44</v>
      </c>
      <c r="O19" s="929">
        <v>1925.44</v>
      </c>
      <c r="P19" s="352"/>
      <c r="Q19" s="387"/>
      <c r="R19" s="322"/>
    </row>
    <row r="20" spans="1:18" ht="13.5" customHeight="1">
      <c r="A20" s="223" t="s">
        <v>105</v>
      </c>
      <c r="B20" s="468">
        <v>3636</v>
      </c>
      <c r="C20" s="227" t="s">
        <v>45</v>
      </c>
      <c r="D20" s="183">
        <v>210</v>
      </c>
      <c r="E20" s="392" t="s">
        <v>101</v>
      </c>
      <c r="F20" s="218">
        <f t="shared" si="3"/>
        <v>500</v>
      </c>
      <c r="G20" s="469">
        <v>500</v>
      </c>
      <c r="H20" s="470"/>
      <c r="I20" s="470"/>
      <c r="J20" s="471">
        <f t="shared" si="1"/>
        <v>500</v>
      </c>
      <c r="K20" s="472">
        <v>500</v>
      </c>
      <c r="L20" s="473"/>
      <c r="M20" s="474"/>
      <c r="N20" s="218">
        <f t="shared" si="2"/>
        <v>0</v>
      </c>
      <c r="O20" s="930">
        <v>0</v>
      </c>
      <c r="P20" s="475"/>
      <c r="Q20" s="476"/>
      <c r="R20" s="322"/>
    </row>
    <row r="21" spans="1:18" ht="13.5" customHeight="1">
      <c r="A21" s="222" t="s">
        <v>219</v>
      </c>
      <c r="B21" s="310">
        <v>3636</v>
      </c>
      <c r="C21" s="208" t="s">
        <v>45</v>
      </c>
      <c r="D21" s="43">
        <v>119</v>
      </c>
      <c r="E21" s="495" t="s">
        <v>220</v>
      </c>
      <c r="F21" s="218">
        <f t="shared" si="3"/>
        <v>0</v>
      </c>
      <c r="G21" s="211">
        <v>0</v>
      </c>
      <c r="H21" s="165"/>
      <c r="I21" s="165"/>
      <c r="J21" s="471">
        <f t="shared" si="1"/>
        <v>1482</v>
      </c>
      <c r="K21" s="472">
        <f>1370+112</f>
        <v>1482</v>
      </c>
      <c r="L21" s="472"/>
      <c r="M21" s="474"/>
      <c r="N21" s="218">
        <f t="shared" si="2"/>
        <v>1467.58</v>
      </c>
      <c r="O21" s="930">
        <v>1467.58</v>
      </c>
      <c r="P21" s="492"/>
      <c r="Q21" s="476"/>
      <c r="R21" s="322"/>
    </row>
    <row r="22" spans="1:18" ht="13.5" customHeight="1">
      <c r="A22" s="212" t="s">
        <v>221</v>
      </c>
      <c r="B22" s="345">
        <v>3636</v>
      </c>
      <c r="C22" s="282" t="s">
        <v>45</v>
      </c>
      <c r="D22" s="346">
        <v>210</v>
      </c>
      <c r="E22" s="495" t="s">
        <v>222</v>
      </c>
      <c r="F22" s="218">
        <f t="shared" si="3"/>
        <v>0</v>
      </c>
      <c r="G22" s="347">
        <v>0</v>
      </c>
      <c r="H22" s="350"/>
      <c r="I22" s="350"/>
      <c r="J22" s="471">
        <f>SUM(K22:M22)</f>
        <v>152</v>
      </c>
      <c r="K22" s="472">
        <f>1452-1300</f>
        <v>152</v>
      </c>
      <c r="L22" s="472"/>
      <c r="M22" s="474"/>
      <c r="N22" s="218">
        <f>SUM(O22:Q22)</f>
        <v>28.93</v>
      </c>
      <c r="O22" s="930">
        <v>28.93</v>
      </c>
      <c r="P22" s="492"/>
      <c r="Q22" s="476"/>
      <c r="R22" s="322"/>
    </row>
    <row r="23" spans="1:18" ht="13.5" customHeight="1">
      <c r="A23" s="69" t="s">
        <v>245</v>
      </c>
      <c r="B23" s="310">
        <v>3636</v>
      </c>
      <c r="C23" s="230" t="s">
        <v>45</v>
      </c>
      <c r="D23" s="43">
        <v>119</v>
      </c>
      <c r="E23" s="495" t="s">
        <v>242</v>
      </c>
      <c r="F23" s="174">
        <f t="shared" si="3"/>
        <v>0</v>
      </c>
      <c r="G23" s="211">
        <v>0</v>
      </c>
      <c r="H23" s="165"/>
      <c r="I23" s="165"/>
      <c r="J23" s="164">
        <f t="shared" si="1"/>
        <v>150</v>
      </c>
      <c r="K23" s="293">
        <v>150</v>
      </c>
      <c r="L23" s="294"/>
      <c r="M23" s="384"/>
      <c r="N23" s="174">
        <f t="shared" si="2"/>
        <v>146.96</v>
      </c>
      <c r="O23" s="290">
        <v>146.96</v>
      </c>
      <c r="P23" s="291"/>
      <c r="Q23" s="386"/>
      <c r="R23" s="322"/>
    </row>
    <row r="24" spans="1:18" ht="13.5" thickBot="1">
      <c r="A24" s="45" t="s">
        <v>26</v>
      </c>
      <c r="B24" s="46"/>
      <c r="C24" s="99"/>
      <c r="D24" s="47"/>
      <c r="E24" s="48"/>
      <c r="F24" s="129"/>
      <c r="G24" s="55"/>
      <c r="H24" s="55"/>
      <c r="I24" s="55"/>
      <c r="J24" s="130"/>
      <c r="K24" s="70"/>
      <c r="L24" s="70"/>
      <c r="M24" s="70"/>
      <c r="N24" s="50"/>
      <c r="O24" s="50"/>
      <c r="P24" s="50"/>
      <c r="Q24" s="50"/>
      <c r="R24" s="323"/>
    </row>
    <row r="25" spans="1:18" ht="14.25" thickBot="1" thickTop="1">
      <c r="A25" s="718"/>
      <c r="B25" s="719"/>
      <c r="C25" s="720"/>
      <c r="D25" s="721"/>
      <c r="E25" s="722" t="s">
        <v>27</v>
      </c>
      <c r="F25" s="198">
        <f aca="true" t="shared" si="4" ref="F25:F41">SUM(G25:I25)</f>
        <v>5290</v>
      </c>
      <c r="G25" s="723">
        <f>SUM(G26:G55)</f>
        <v>3990</v>
      </c>
      <c r="H25" s="723">
        <f>SUM(H26:H55)</f>
        <v>1300</v>
      </c>
      <c r="I25" s="723">
        <f>SUM(I26:I55)</f>
        <v>0</v>
      </c>
      <c r="J25" s="724">
        <f>SUM(K25:M25)</f>
        <v>11111.2</v>
      </c>
      <c r="K25" s="725">
        <f>SUM(K26:K55)</f>
        <v>9919.2</v>
      </c>
      <c r="L25" s="725">
        <f>SUM(L26:L55)</f>
        <v>1192</v>
      </c>
      <c r="M25" s="725">
        <f>SUM(M26:M55)</f>
        <v>0</v>
      </c>
      <c r="N25" s="198">
        <f>SUM(O25:Q25)</f>
        <v>4544.13</v>
      </c>
      <c r="O25" s="726">
        <f>SUM(O26:O55)</f>
        <v>3539.1400000000003</v>
      </c>
      <c r="P25" s="725">
        <f>SUM(P26:P55)</f>
        <v>1004.99</v>
      </c>
      <c r="Q25" s="727">
        <f>SUM(Q26:Q55)</f>
        <v>0</v>
      </c>
      <c r="R25" s="324">
        <f>SUM(N25/J25)</f>
        <v>0.40896842825257396</v>
      </c>
    </row>
    <row r="26" spans="1:18" ht="13.5" thickTop="1">
      <c r="A26" s="728" t="s">
        <v>70</v>
      </c>
      <c r="B26" s="697">
        <v>3745</v>
      </c>
      <c r="C26" s="729" t="s">
        <v>31</v>
      </c>
      <c r="D26" s="730">
        <v>10</v>
      </c>
      <c r="E26" s="731" t="s">
        <v>106</v>
      </c>
      <c r="F26" s="732">
        <f t="shared" si="4"/>
        <v>250</v>
      </c>
      <c r="G26" s="733">
        <v>250</v>
      </c>
      <c r="H26" s="734"/>
      <c r="I26" s="703"/>
      <c r="J26" s="735">
        <f>SUM(K26:M26)</f>
        <v>0</v>
      </c>
      <c r="K26" s="736">
        <f>250-250</f>
        <v>0</v>
      </c>
      <c r="L26" s="702"/>
      <c r="M26" s="702"/>
      <c r="N26" s="732">
        <f>SUM(O26:Q26)</f>
        <v>0</v>
      </c>
      <c r="O26" s="639">
        <v>0</v>
      </c>
      <c r="P26" s="702"/>
      <c r="Q26" s="737"/>
      <c r="R26" s="322"/>
    </row>
    <row r="27" spans="1:18" ht="12.75">
      <c r="A27" s="873" t="s">
        <v>250</v>
      </c>
      <c r="B27" s="485">
        <v>3745</v>
      </c>
      <c r="C27" s="227" t="s">
        <v>31</v>
      </c>
      <c r="D27" s="183">
        <v>10</v>
      </c>
      <c r="E27" s="752" t="s">
        <v>106</v>
      </c>
      <c r="F27" s="185">
        <f>SUM(G27:I27)</f>
        <v>0</v>
      </c>
      <c r="G27" s="359">
        <v>0</v>
      </c>
      <c r="H27" s="266"/>
      <c r="I27" s="186"/>
      <c r="J27" s="748">
        <f>SUM(K27:M27)</f>
        <v>250</v>
      </c>
      <c r="K27" s="266">
        <v>250</v>
      </c>
      <c r="L27" s="248"/>
      <c r="M27" s="248"/>
      <c r="N27" s="185">
        <f>SUM(O27:Q27)</f>
        <v>0</v>
      </c>
      <c r="O27" s="247">
        <v>0</v>
      </c>
      <c r="P27" s="248"/>
      <c r="Q27" s="439"/>
      <c r="R27" s="322"/>
    </row>
    <row r="28" spans="1:18" ht="13.5" thickBot="1">
      <c r="A28" s="738" t="s">
        <v>250</v>
      </c>
      <c r="B28" s="739">
        <v>3745</v>
      </c>
      <c r="C28" s="740" t="s">
        <v>31</v>
      </c>
      <c r="D28" s="741">
        <v>90</v>
      </c>
      <c r="E28" s="754" t="s">
        <v>106</v>
      </c>
      <c r="F28" s="742">
        <f>SUM(G28:I28)</f>
        <v>0</v>
      </c>
      <c r="G28" s="743">
        <v>0</v>
      </c>
      <c r="H28" s="744"/>
      <c r="I28" s="637"/>
      <c r="J28" s="745">
        <f>SUM(K28:M28)</f>
        <v>250</v>
      </c>
      <c r="K28" s="744">
        <v>250</v>
      </c>
      <c r="L28" s="636"/>
      <c r="M28" s="636"/>
      <c r="N28" s="742">
        <f>SUM(O28:Q28)</f>
        <v>13.1</v>
      </c>
      <c r="O28" s="635">
        <v>13.1</v>
      </c>
      <c r="P28" s="636"/>
      <c r="Q28" s="746"/>
      <c r="R28" s="322"/>
    </row>
    <row r="29" spans="1:18" ht="12.75">
      <c r="A29" s="728" t="s">
        <v>118</v>
      </c>
      <c r="B29" s="697">
        <v>3745</v>
      </c>
      <c r="C29" s="729" t="s">
        <v>31</v>
      </c>
      <c r="D29" s="730">
        <v>10</v>
      </c>
      <c r="E29" s="731" t="s">
        <v>107</v>
      </c>
      <c r="F29" s="732">
        <f t="shared" si="4"/>
        <v>140</v>
      </c>
      <c r="G29" s="747">
        <v>140</v>
      </c>
      <c r="H29" s="734"/>
      <c r="I29" s="703"/>
      <c r="J29" s="735">
        <f aca="true" t="shared" si="5" ref="J29:J41">SUM(K29:M29)</f>
        <v>0</v>
      </c>
      <c r="K29" s="736">
        <f>140-140</f>
        <v>0</v>
      </c>
      <c r="L29" s="702"/>
      <c r="M29" s="702"/>
      <c r="N29" s="732">
        <f aca="true" t="shared" si="6" ref="N29:N38">SUM(O29:Q29)</f>
        <v>0</v>
      </c>
      <c r="O29" s="639">
        <v>0</v>
      </c>
      <c r="P29" s="702"/>
      <c r="Q29" s="737"/>
      <c r="R29" s="322"/>
    </row>
    <row r="30" spans="1:18" ht="12.75">
      <c r="A30" s="872" t="s">
        <v>252</v>
      </c>
      <c r="B30" s="484">
        <v>3745</v>
      </c>
      <c r="C30" s="208" t="s">
        <v>31</v>
      </c>
      <c r="D30" s="43">
        <v>10</v>
      </c>
      <c r="E30" s="876" t="s">
        <v>107</v>
      </c>
      <c r="F30" s="172">
        <f>SUM(G30:I30)</f>
        <v>0</v>
      </c>
      <c r="G30" s="263">
        <v>0</v>
      </c>
      <c r="H30" s="264"/>
      <c r="I30" s="131"/>
      <c r="J30" s="187">
        <f>SUM(K30:M30)</f>
        <v>140</v>
      </c>
      <c r="K30" s="264">
        <v>140</v>
      </c>
      <c r="L30" s="244"/>
      <c r="M30" s="244"/>
      <c r="N30" s="172">
        <f>SUM(O30:Q30)</f>
        <v>0</v>
      </c>
      <c r="O30" s="243">
        <v>0</v>
      </c>
      <c r="P30" s="244"/>
      <c r="Q30" s="309"/>
      <c r="R30" s="322"/>
    </row>
    <row r="31" spans="1:18" ht="13.5" thickBot="1">
      <c r="A31" s="795" t="s">
        <v>252</v>
      </c>
      <c r="B31" s="711">
        <v>3745</v>
      </c>
      <c r="C31" s="865" t="s">
        <v>31</v>
      </c>
      <c r="D31" s="788">
        <v>90</v>
      </c>
      <c r="E31" s="874" t="s">
        <v>107</v>
      </c>
      <c r="F31" s="790">
        <f>SUM(G31:I31)</f>
        <v>0</v>
      </c>
      <c r="G31" s="875">
        <v>0</v>
      </c>
      <c r="H31" s="869"/>
      <c r="I31" s="717"/>
      <c r="J31" s="791">
        <f t="shared" si="5"/>
        <v>140</v>
      </c>
      <c r="K31" s="869">
        <v>140</v>
      </c>
      <c r="L31" s="870"/>
      <c r="M31" s="870"/>
      <c r="N31" s="790">
        <f t="shared" si="6"/>
        <v>14.44</v>
      </c>
      <c r="O31" s="646">
        <v>14.44</v>
      </c>
      <c r="P31" s="870"/>
      <c r="Q31" s="871"/>
      <c r="R31" s="322"/>
    </row>
    <row r="32" spans="1:18" ht="13.5" thickBot="1">
      <c r="A32" s="213" t="s">
        <v>119</v>
      </c>
      <c r="B32" s="73">
        <v>3745</v>
      </c>
      <c r="C32" s="282" t="s">
        <v>31</v>
      </c>
      <c r="D32" s="346">
        <v>10</v>
      </c>
      <c r="E32" s="863" t="s">
        <v>108</v>
      </c>
      <c r="F32" s="196">
        <f t="shared" si="4"/>
        <v>500</v>
      </c>
      <c r="G32" s="864">
        <v>500</v>
      </c>
      <c r="H32" s="343"/>
      <c r="I32" s="188"/>
      <c r="J32" s="379">
        <f t="shared" si="5"/>
        <v>500</v>
      </c>
      <c r="K32" s="343">
        <v>500</v>
      </c>
      <c r="L32" s="301"/>
      <c r="M32" s="301"/>
      <c r="N32" s="196">
        <f t="shared" si="6"/>
        <v>65.95</v>
      </c>
      <c r="O32" s="429">
        <v>65.95</v>
      </c>
      <c r="P32" s="301"/>
      <c r="Q32" s="388"/>
      <c r="R32" s="322"/>
    </row>
    <row r="33" spans="1:18" ht="12.75">
      <c r="A33" s="728" t="s">
        <v>120</v>
      </c>
      <c r="B33" s="697">
        <v>3745</v>
      </c>
      <c r="C33" s="729" t="s">
        <v>31</v>
      </c>
      <c r="D33" s="730"/>
      <c r="E33" s="731" t="s">
        <v>109</v>
      </c>
      <c r="F33" s="732">
        <f>SUM(G33:I33)</f>
        <v>0</v>
      </c>
      <c r="G33" s="733">
        <v>0</v>
      </c>
      <c r="H33" s="734"/>
      <c r="I33" s="703"/>
      <c r="J33" s="735">
        <f>SUM(K33:M33)</f>
        <v>100</v>
      </c>
      <c r="K33" s="736">
        <v>100</v>
      </c>
      <c r="L33" s="702"/>
      <c r="M33" s="702"/>
      <c r="N33" s="732">
        <f>SUM(O33:Q33)</f>
        <v>0</v>
      </c>
      <c r="O33" s="639">
        <v>0</v>
      </c>
      <c r="P33" s="702"/>
      <c r="Q33" s="737"/>
      <c r="R33" s="322"/>
    </row>
    <row r="34" spans="1:18" ht="13.5" thickBot="1">
      <c r="A34" s="795" t="s">
        <v>120</v>
      </c>
      <c r="B34" s="711">
        <v>3745</v>
      </c>
      <c r="C34" s="865" t="s">
        <v>31</v>
      </c>
      <c r="D34" s="788">
        <v>10</v>
      </c>
      <c r="E34" s="866" t="s">
        <v>109</v>
      </c>
      <c r="F34" s="790">
        <f t="shared" si="4"/>
        <v>100</v>
      </c>
      <c r="G34" s="867">
        <v>100</v>
      </c>
      <c r="H34" s="868"/>
      <c r="I34" s="717"/>
      <c r="J34" s="791">
        <f t="shared" si="5"/>
        <v>100</v>
      </c>
      <c r="K34" s="869">
        <v>100</v>
      </c>
      <c r="L34" s="870"/>
      <c r="M34" s="870"/>
      <c r="N34" s="790">
        <f t="shared" si="6"/>
        <v>62.92</v>
      </c>
      <c r="O34" s="646">
        <v>62.92</v>
      </c>
      <c r="P34" s="870"/>
      <c r="Q34" s="871"/>
      <c r="R34" s="322"/>
    </row>
    <row r="35" spans="1:18" ht="12.75">
      <c r="A35" s="212" t="s">
        <v>121</v>
      </c>
      <c r="B35" s="486">
        <v>3745</v>
      </c>
      <c r="C35" s="313" t="s">
        <v>31</v>
      </c>
      <c r="D35" s="162">
        <v>10</v>
      </c>
      <c r="E35" s="560" t="s">
        <v>110</v>
      </c>
      <c r="F35" s="173">
        <f>SUM(G35:I35)</f>
        <v>800</v>
      </c>
      <c r="G35" s="448">
        <v>800</v>
      </c>
      <c r="H35" s="265"/>
      <c r="I35" s="141"/>
      <c r="J35" s="379">
        <f>SUM(K35:M35)</f>
        <v>0</v>
      </c>
      <c r="K35" s="343">
        <f>800-800</f>
        <v>0</v>
      </c>
      <c r="L35" s="301"/>
      <c r="M35" s="301"/>
      <c r="N35" s="196">
        <f>SUM(O35:Q35)</f>
        <v>0</v>
      </c>
      <c r="O35" s="429">
        <v>0</v>
      </c>
      <c r="P35" s="301"/>
      <c r="Q35" s="388"/>
      <c r="R35" s="322"/>
    </row>
    <row r="36" spans="1:18" ht="12.75">
      <c r="A36" s="222" t="s">
        <v>122</v>
      </c>
      <c r="B36" s="53">
        <v>3745</v>
      </c>
      <c r="C36" s="232" t="s">
        <v>31</v>
      </c>
      <c r="D36" s="43">
        <v>10</v>
      </c>
      <c r="E36" s="390" t="s">
        <v>111</v>
      </c>
      <c r="F36" s="172">
        <f t="shared" si="4"/>
        <v>300</v>
      </c>
      <c r="G36" s="263">
        <v>300</v>
      </c>
      <c r="H36" s="72"/>
      <c r="I36" s="131"/>
      <c r="J36" s="187">
        <f t="shared" si="5"/>
        <v>300</v>
      </c>
      <c r="K36" s="264">
        <v>300</v>
      </c>
      <c r="L36" s="244"/>
      <c r="M36" s="244"/>
      <c r="N36" s="172">
        <f t="shared" si="6"/>
        <v>0</v>
      </c>
      <c r="O36" s="243">
        <v>0</v>
      </c>
      <c r="P36" s="244"/>
      <c r="Q36" s="309"/>
      <c r="R36" s="322"/>
    </row>
    <row r="37" spans="1:18" ht="12.75">
      <c r="A37" s="222" t="s">
        <v>79</v>
      </c>
      <c r="B37" s="53">
        <v>3745</v>
      </c>
      <c r="C37" s="208" t="s">
        <v>31</v>
      </c>
      <c r="D37" s="43">
        <v>10</v>
      </c>
      <c r="E37" s="390" t="s">
        <v>112</v>
      </c>
      <c r="F37" s="172">
        <f t="shared" si="4"/>
        <v>700</v>
      </c>
      <c r="G37" s="117">
        <v>0</v>
      </c>
      <c r="H37" s="264">
        <v>700</v>
      </c>
      <c r="I37" s="131"/>
      <c r="J37" s="389">
        <f t="shared" si="5"/>
        <v>700</v>
      </c>
      <c r="K37" s="264">
        <v>700</v>
      </c>
      <c r="L37" s="244">
        <v>0</v>
      </c>
      <c r="M37" s="244"/>
      <c r="N37" s="172">
        <f t="shared" si="6"/>
        <v>397.42</v>
      </c>
      <c r="O37" s="243">
        <v>397.42</v>
      </c>
      <c r="P37" s="244">
        <v>0</v>
      </c>
      <c r="Q37" s="309"/>
      <c r="R37" s="322"/>
    </row>
    <row r="38" spans="1:18" ht="13.5" thickBot="1">
      <c r="A38" s="213" t="s">
        <v>123</v>
      </c>
      <c r="B38" s="489">
        <v>3745</v>
      </c>
      <c r="C38" s="282" t="s">
        <v>31</v>
      </c>
      <c r="D38" s="346">
        <v>10</v>
      </c>
      <c r="E38" s="560" t="s">
        <v>113</v>
      </c>
      <c r="F38" s="196">
        <f t="shared" si="4"/>
        <v>600</v>
      </c>
      <c r="G38" s="890"/>
      <c r="H38" s="343">
        <v>600</v>
      </c>
      <c r="I38" s="188"/>
      <c r="J38" s="891">
        <f t="shared" si="5"/>
        <v>600</v>
      </c>
      <c r="K38" s="343"/>
      <c r="L38" s="301">
        <v>600</v>
      </c>
      <c r="M38" s="388"/>
      <c r="N38" s="196">
        <f t="shared" si="6"/>
        <v>456.57</v>
      </c>
      <c r="O38" s="429"/>
      <c r="P38" s="301">
        <v>456.57</v>
      </c>
      <c r="Q38" s="388"/>
      <c r="R38" s="322"/>
    </row>
    <row r="39" spans="1:18" ht="12.75">
      <c r="A39" s="728" t="s">
        <v>124</v>
      </c>
      <c r="B39" s="697">
        <v>3745</v>
      </c>
      <c r="C39" s="729" t="s">
        <v>31</v>
      </c>
      <c r="D39" s="730"/>
      <c r="E39" s="892" t="s">
        <v>114</v>
      </c>
      <c r="F39" s="732">
        <f>SUM(G39:I39)</f>
        <v>0</v>
      </c>
      <c r="G39" s="747">
        <v>0</v>
      </c>
      <c r="H39" s="736"/>
      <c r="I39" s="703"/>
      <c r="J39" s="893">
        <f>SUM(K39:M39)</f>
        <v>60</v>
      </c>
      <c r="K39" s="736">
        <v>60</v>
      </c>
      <c r="L39" s="702"/>
      <c r="M39" s="737"/>
      <c r="N39" s="732">
        <f>SUM(O39:Q39)</f>
        <v>56.21</v>
      </c>
      <c r="O39" s="639">
        <v>56.21</v>
      </c>
      <c r="P39" s="702"/>
      <c r="Q39" s="737"/>
      <c r="R39" s="322"/>
    </row>
    <row r="40" spans="1:18" ht="13.5" thickBot="1">
      <c r="A40" s="738" t="s">
        <v>124</v>
      </c>
      <c r="B40" s="739">
        <v>3745</v>
      </c>
      <c r="C40" s="740" t="s">
        <v>31</v>
      </c>
      <c r="D40" s="741">
        <v>10</v>
      </c>
      <c r="E40" s="894" t="s">
        <v>114</v>
      </c>
      <c r="F40" s="742">
        <f>SUM(G40:I40)</f>
        <v>100</v>
      </c>
      <c r="G40" s="743">
        <v>100</v>
      </c>
      <c r="H40" s="744"/>
      <c r="I40" s="637"/>
      <c r="J40" s="895">
        <f>SUM(K40:M40)</f>
        <v>100</v>
      </c>
      <c r="K40" s="744">
        <v>100</v>
      </c>
      <c r="L40" s="636"/>
      <c r="M40" s="746"/>
      <c r="N40" s="742">
        <f>SUM(O40:Q40)</f>
        <v>100</v>
      </c>
      <c r="O40" s="635">
        <v>100</v>
      </c>
      <c r="P40" s="636"/>
      <c r="Q40" s="746"/>
      <c r="R40" s="322"/>
    </row>
    <row r="41" spans="1:18" ht="13.5" thickBot="1">
      <c r="A41" s="213" t="s">
        <v>125</v>
      </c>
      <c r="B41" s="73">
        <v>3745</v>
      </c>
      <c r="C41" s="282" t="s">
        <v>31</v>
      </c>
      <c r="D41" s="346">
        <v>10</v>
      </c>
      <c r="E41" s="560" t="s">
        <v>115</v>
      </c>
      <c r="F41" s="196">
        <f t="shared" si="4"/>
        <v>800</v>
      </c>
      <c r="G41" s="864">
        <v>800</v>
      </c>
      <c r="H41" s="343"/>
      <c r="I41" s="188"/>
      <c r="J41" s="379">
        <f t="shared" si="5"/>
        <v>800</v>
      </c>
      <c r="K41" s="343">
        <v>800</v>
      </c>
      <c r="L41" s="301"/>
      <c r="M41" s="301"/>
      <c r="N41" s="196">
        <f aca="true" t="shared" si="7" ref="N41:N55">SUM(O41:Q41)</f>
        <v>0</v>
      </c>
      <c r="O41" s="429">
        <v>0</v>
      </c>
      <c r="P41" s="301"/>
      <c r="Q41" s="388"/>
      <c r="R41" s="322"/>
    </row>
    <row r="42" spans="1:18" ht="12.75">
      <c r="A42" s="728" t="s">
        <v>126</v>
      </c>
      <c r="B42" s="697">
        <v>3745</v>
      </c>
      <c r="C42" s="729" t="s">
        <v>31</v>
      </c>
      <c r="D42" s="730">
        <v>10</v>
      </c>
      <c r="E42" s="749" t="s">
        <v>116</v>
      </c>
      <c r="F42" s="732">
        <f>SUM(G42:I42)</f>
        <v>500</v>
      </c>
      <c r="G42" s="733">
        <v>500</v>
      </c>
      <c r="H42" s="734"/>
      <c r="I42" s="703"/>
      <c r="J42" s="735">
        <f aca="true" t="shared" si="8" ref="J42:J55">SUM(K42:M42)</f>
        <v>0</v>
      </c>
      <c r="K42" s="736">
        <f>500-500</f>
        <v>0</v>
      </c>
      <c r="L42" s="702"/>
      <c r="M42" s="702"/>
      <c r="N42" s="732">
        <f t="shared" si="7"/>
        <v>0</v>
      </c>
      <c r="O42" s="639">
        <v>0</v>
      </c>
      <c r="P42" s="702"/>
      <c r="Q42" s="737"/>
      <c r="R42" s="322"/>
    </row>
    <row r="43" spans="1:18" ht="12.75">
      <c r="A43" s="750" t="s">
        <v>254</v>
      </c>
      <c r="B43" s="486">
        <v>3745</v>
      </c>
      <c r="C43" s="161" t="s">
        <v>31</v>
      </c>
      <c r="D43" s="162">
        <v>10</v>
      </c>
      <c r="E43" s="488" t="s">
        <v>116</v>
      </c>
      <c r="F43" s="173">
        <v>0</v>
      </c>
      <c r="G43" s="448">
        <v>0</v>
      </c>
      <c r="H43" s="265"/>
      <c r="I43" s="141"/>
      <c r="J43" s="126">
        <f>SUM(K43:M43)</f>
        <v>500</v>
      </c>
      <c r="K43" s="265">
        <v>500</v>
      </c>
      <c r="L43" s="246"/>
      <c r="M43" s="246"/>
      <c r="N43" s="173">
        <f>SUM(O43:Q43)</f>
        <v>0</v>
      </c>
      <c r="O43" s="245">
        <v>0</v>
      </c>
      <c r="P43" s="246"/>
      <c r="Q43" s="297"/>
      <c r="R43" s="322"/>
    </row>
    <row r="44" spans="1:18" ht="13.5" thickBot="1">
      <c r="A44" s="738" t="s">
        <v>254</v>
      </c>
      <c r="B44" s="739">
        <v>3745</v>
      </c>
      <c r="C44" s="751" t="s">
        <v>31</v>
      </c>
      <c r="D44" s="741">
        <v>84</v>
      </c>
      <c r="E44" s="778" t="s">
        <v>116</v>
      </c>
      <c r="F44" s="742">
        <v>0</v>
      </c>
      <c r="G44" s="743">
        <v>0</v>
      </c>
      <c r="H44" s="744"/>
      <c r="I44" s="637"/>
      <c r="J44" s="745">
        <f>SUM(K44:M44)</f>
        <v>1000</v>
      </c>
      <c r="K44" s="744">
        <v>1000</v>
      </c>
      <c r="L44" s="636"/>
      <c r="M44" s="636"/>
      <c r="N44" s="742">
        <f>SUM(O44:Q44)</f>
        <v>117.49</v>
      </c>
      <c r="O44" s="635">
        <v>117.49</v>
      </c>
      <c r="P44" s="636"/>
      <c r="Q44" s="746"/>
      <c r="R44" s="322"/>
    </row>
    <row r="45" spans="1:18" ht="12.75">
      <c r="A45" s="212" t="s">
        <v>127</v>
      </c>
      <c r="B45" s="42">
        <v>3745</v>
      </c>
      <c r="C45" s="228" t="s">
        <v>31</v>
      </c>
      <c r="D45" s="162">
        <v>10</v>
      </c>
      <c r="E45" s="382" t="s">
        <v>117</v>
      </c>
      <c r="F45" s="173">
        <f>SUM(G45:I45)</f>
        <v>500</v>
      </c>
      <c r="G45" s="175">
        <v>500</v>
      </c>
      <c r="H45" s="166"/>
      <c r="I45" s="141"/>
      <c r="J45" s="126">
        <f t="shared" si="8"/>
        <v>500</v>
      </c>
      <c r="K45" s="265">
        <v>500</v>
      </c>
      <c r="L45" s="246"/>
      <c r="M45" s="246"/>
      <c r="N45" s="173">
        <f t="shared" si="7"/>
        <v>0</v>
      </c>
      <c r="O45" s="245">
        <v>0</v>
      </c>
      <c r="P45" s="246"/>
      <c r="Q45" s="297"/>
      <c r="R45" s="322"/>
    </row>
    <row r="46" spans="1:18" ht="12.75">
      <c r="A46" s="212" t="s">
        <v>223</v>
      </c>
      <c r="B46" s="486">
        <v>3745</v>
      </c>
      <c r="C46" s="228" t="s">
        <v>31</v>
      </c>
      <c r="D46" s="162">
        <v>119</v>
      </c>
      <c r="E46" s="382" t="s">
        <v>244</v>
      </c>
      <c r="F46" s="173">
        <f>SUM(G46:I46)</f>
        <v>0</v>
      </c>
      <c r="G46" s="448">
        <v>0</v>
      </c>
      <c r="H46" s="265"/>
      <c r="I46" s="141"/>
      <c r="J46" s="126">
        <f>SUM(K46:M46)</f>
        <v>1893</v>
      </c>
      <c r="K46" s="265">
        <v>1893</v>
      </c>
      <c r="L46" s="246"/>
      <c r="M46" s="246"/>
      <c r="N46" s="173">
        <f>SUM(O46:Q46)</f>
        <v>1838.11</v>
      </c>
      <c r="O46" s="245">
        <v>1838.11</v>
      </c>
      <c r="P46" s="246"/>
      <c r="Q46" s="297"/>
      <c r="R46" s="322"/>
    </row>
    <row r="47" spans="1:18" ht="12.75">
      <c r="A47" s="222" t="s">
        <v>246</v>
      </c>
      <c r="B47" s="484">
        <v>3745</v>
      </c>
      <c r="C47" s="208" t="s">
        <v>31</v>
      </c>
      <c r="D47" s="43">
        <v>119</v>
      </c>
      <c r="E47" s="340" t="s">
        <v>243</v>
      </c>
      <c r="F47" s="172">
        <f>SUM(G47:I47)</f>
        <v>0</v>
      </c>
      <c r="G47" s="263">
        <v>0</v>
      </c>
      <c r="H47" s="264"/>
      <c r="I47" s="131"/>
      <c r="J47" s="187">
        <f t="shared" si="8"/>
        <v>322</v>
      </c>
      <c r="K47" s="264">
        <f>390-264</f>
        <v>126</v>
      </c>
      <c r="L47" s="244">
        <v>196</v>
      </c>
      <c r="M47" s="244"/>
      <c r="N47" s="172">
        <f t="shared" si="7"/>
        <v>294.33</v>
      </c>
      <c r="O47" s="243">
        <v>122.76</v>
      </c>
      <c r="P47" s="244">
        <v>171.57</v>
      </c>
      <c r="Q47" s="309"/>
      <c r="R47" s="322"/>
    </row>
    <row r="48" spans="1:18" ht="12.75">
      <c r="A48" s="212" t="s">
        <v>247</v>
      </c>
      <c r="B48" s="42">
        <v>3745</v>
      </c>
      <c r="C48" s="228" t="s">
        <v>31</v>
      </c>
      <c r="D48" s="162">
        <v>90</v>
      </c>
      <c r="E48" s="753" t="s">
        <v>256</v>
      </c>
      <c r="F48" s="173">
        <f>SUM(G48:I48)</f>
        <v>0</v>
      </c>
      <c r="G48" s="448">
        <v>0</v>
      </c>
      <c r="H48" s="265"/>
      <c r="I48" s="141"/>
      <c r="J48" s="126">
        <f t="shared" si="8"/>
        <v>1785.5</v>
      </c>
      <c r="K48" s="265">
        <v>1785.5</v>
      </c>
      <c r="L48" s="246"/>
      <c r="M48" s="246"/>
      <c r="N48" s="173">
        <f t="shared" si="7"/>
        <v>669.86</v>
      </c>
      <c r="O48" s="245">
        <v>669.86</v>
      </c>
      <c r="P48" s="246"/>
      <c r="Q48" s="297"/>
      <c r="R48" s="322"/>
    </row>
    <row r="49" spans="1:18" ht="12.75" customHeight="1">
      <c r="A49" s="223" t="s">
        <v>248</v>
      </c>
      <c r="B49" s="181">
        <v>3745</v>
      </c>
      <c r="C49" s="227" t="s">
        <v>31</v>
      </c>
      <c r="D49" s="183">
        <v>90</v>
      </c>
      <c r="E49" s="752" t="s">
        <v>255</v>
      </c>
      <c r="F49" s="225">
        <f>SUM(G49:I49)</f>
        <v>0</v>
      </c>
      <c r="G49" s="430">
        <v>0</v>
      </c>
      <c r="H49" s="431"/>
      <c r="I49" s="432"/>
      <c r="J49" s="433">
        <f t="shared" si="8"/>
        <v>0</v>
      </c>
      <c r="K49" s="434">
        <f>1600-1600</f>
        <v>0</v>
      </c>
      <c r="L49" s="435"/>
      <c r="M49" s="435"/>
      <c r="N49" s="225">
        <f t="shared" si="7"/>
        <v>0</v>
      </c>
      <c r="O49" s="580">
        <v>0</v>
      </c>
      <c r="P49" s="435"/>
      <c r="Q49" s="397"/>
      <c r="R49" s="322"/>
    </row>
    <row r="50" spans="1:18" ht="12.75" customHeight="1" thickBot="1">
      <c r="A50" s="223" t="s">
        <v>249</v>
      </c>
      <c r="B50" s="181">
        <v>3745</v>
      </c>
      <c r="C50" s="227" t="s">
        <v>31</v>
      </c>
      <c r="D50" s="183">
        <v>90</v>
      </c>
      <c r="E50" s="896" t="s">
        <v>257</v>
      </c>
      <c r="F50" s="225">
        <v>0</v>
      </c>
      <c r="G50" s="430">
        <v>0</v>
      </c>
      <c r="H50" s="431"/>
      <c r="I50" s="432"/>
      <c r="J50" s="433">
        <f t="shared" si="8"/>
        <v>0</v>
      </c>
      <c r="K50" s="434">
        <f>170-170</f>
        <v>0</v>
      </c>
      <c r="L50" s="435"/>
      <c r="M50" s="435"/>
      <c r="N50" s="225">
        <f t="shared" si="7"/>
        <v>0</v>
      </c>
      <c r="O50" s="580">
        <v>0</v>
      </c>
      <c r="P50" s="435"/>
      <c r="Q50" s="397"/>
      <c r="R50" s="322"/>
    </row>
    <row r="51" spans="1:18" ht="12.75" customHeight="1">
      <c r="A51" s="728" t="s">
        <v>251</v>
      </c>
      <c r="B51" s="697">
        <v>3745</v>
      </c>
      <c r="C51" s="729" t="s">
        <v>31</v>
      </c>
      <c r="D51" s="730">
        <v>84</v>
      </c>
      <c r="E51" s="899" t="s">
        <v>258</v>
      </c>
      <c r="F51" s="732">
        <f>SUM(G51:I51)</f>
        <v>0</v>
      </c>
      <c r="G51" s="747">
        <v>0</v>
      </c>
      <c r="H51" s="736"/>
      <c r="I51" s="703"/>
      <c r="J51" s="735">
        <f>SUM(K51:M51)</f>
        <v>390</v>
      </c>
      <c r="K51" s="736">
        <v>390</v>
      </c>
      <c r="L51" s="702"/>
      <c r="M51" s="702"/>
      <c r="N51" s="732">
        <f>SUM(O51:Q51)</f>
        <v>0</v>
      </c>
      <c r="O51" s="639">
        <v>0</v>
      </c>
      <c r="P51" s="702"/>
      <c r="Q51" s="737"/>
      <c r="R51" s="322"/>
    </row>
    <row r="52" spans="1:18" ht="13.5" thickBot="1">
      <c r="A52" s="738" t="s">
        <v>251</v>
      </c>
      <c r="B52" s="739">
        <v>3745</v>
      </c>
      <c r="C52" s="740" t="s">
        <v>31</v>
      </c>
      <c r="D52" s="741">
        <v>90</v>
      </c>
      <c r="E52" s="898" t="s">
        <v>258</v>
      </c>
      <c r="F52" s="742">
        <f>SUM(G52:I52)</f>
        <v>0</v>
      </c>
      <c r="G52" s="743">
        <v>0</v>
      </c>
      <c r="H52" s="744"/>
      <c r="I52" s="637"/>
      <c r="J52" s="745">
        <f>SUM(K52:M52)</f>
        <v>84.7</v>
      </c>
      <c r="K52" s="744">
        <v>84.7</v>
      </c>
      <c r="L52" s="636"/>
      <c r="M52" s="636"/>
      <c r="N52" s="742">
        <f>SUM(O52:Q52)</f>
        <v>0</v>
      </c>
      <c r="O52" s="635">
        <v>0</v>
      </c>
      <c r="P52" s="636"/>
      <c r="Q52" s="746"/>
      <c r="R52" s="322"/>
    </row>
    <row r="53" spans="1:18" ht="12.75">
      <c r="A53" s="212" t="s">
        <v>253</v>
      </c>
      <c r="B53" s="486">
        <v>3745</v>
      </c>
      <c r="C53" s="228" t="s">
        <v>31</v>
      </c>
      <c r="D53" s="162">
        <v>90</v>
      </c>
      <c r="E53" s="897" t="s">
        <v>259</v>
      </c>
      <c r="F53" s="173">
        <f>SUM(G53:I53)</f>
        <v>0</v>
      </c>
      <c r="G53" s="448">
        <v>0</v>
      </c>
      <c r="H53" s="265"/>
      <c r="I53" s="141"/>
      <c r="J53" s="126">
        <f t="shared" si="8"/>
        <v>200</v>
      </c>
      <c r="K53" s="265">
        <v>200</v>
      </c>
      <c r="L53" s="246"/>
      <c r="M53" s="246"/>
      <c r="N53" s="173">
        <f t="shared" si="7"/>
        <v>80.88</v>
      </c>
      <c r="O53" s="245">
        <v>80.88</v>
      </c>
      <c r="P53" s="246"/>
      <c r="Q53" s="297"/>
      <c r="R53" s="322"/>
    </row>
    <row r="54" spans="1:18" ht="12.75">
      <c r="A54" s="222" t="s">
        <v>278</v>
      </c>
      <c r="B54" s="484">
        <v>3745</v>
      </c>
      <c r="C54" s="208" t="s">
        <v>31</v>
      </c>
      <c r="D54" s="43">
        <v>10</v>
      </c>
      <c r="E54" s="340" t="s">
        <v>277</v>
      </c>
      <c r="F54" s="172">
        <f>SUM(G54:I54)</f>
        <v>0</v>
      </c>
      <c r="G54" s="263">
        <v>0</v>
      </c>
      <c r="H54" s="72"/>
      <c r="I54" s="131"/>
      <c r="J54" s="187">
        <f t="shared" si="8"/>
        <v>146</v>
      </c>
      <c r="K54" s="264"/>
      <c r="L54" s="244">
        <f>500-354</f>
        <v>146</v>
      </c>
      <c r="M54" s="244"/>
      <c r="N54" s="172">
        <f t="shared" si="7"/>
        <v>145.14</v>
      </c>
      <c r="O54" s="243"/>
      <c r="P54" s="244">
        <v>145.14</v>
      </c>
      <c r="Q54" s="309"/>
      <c r="R54" s="322"/>
    </row>
    <row r="55" spans="1:18" ht="12.75">
      <c r="A55" s="212" t="s">
        <v>291</v>
      </c>
      <c r="B55" s="486">
        <v>3745</v>
      </c>
      <c r="C55" s="161" t="s">
        <v>31</v>
      </c>
      <c r="D55" s="162">
        <v>84</v>
      </c>
      <c r="E55" s="391" t="s">
        <v>290</v>
      </c>
      <c r="F55" s="173">
        <v>0</v>
      </c>
      <c r="G55" s="448">
        <v>0</v>
      </c>
      <c r="H55" s="265"/>
      <c r="I55" s="141"/>
      <c r="J55" s="126">
        <f t="shared" si="8"/>
        <v>250</v>
      </c>
      <c r="K55" s="265"/>
      <c r="L55" s="246">
        <v>250</v>
      </c>
      <c r="M55" s="246"/>
      <c r="N55" s="173">
        <f t="shared" si="7"/>
        <v>231.71</v>
      </c>
      <c r="O55" s="245"/>
      <c r="P55" s="246">
        <v>231.71</v>
      </c>
      <c r="Q55" s="297"/>
      <c r="R55" s="322"/>
    </row>
    <row r="56" spans="1:18" ht="13.5" thickBot="1">
      <c r="A56" s="240" t="s">
        <v>25</v>
      </c>
      <c r="B56" s="241"/>
      <c r="C56" s="101"/>
      <c r="D56" s="47"/>
      <c r="E56" s="54"/>
      <c r="F56" s="132"/>
      <c r="G56" s="50"/>
      <c r="H56" s="133"/>
      <c r="I56" s="55"/>
      <c r="J56" s="55"/>
      <c r="K56" s="55"/>
      <c r="L56" s="55"/>
      <c r="M56" s="55"/>
      <c r="N56" s="55"/>
      <c r="O56" s="55"/>
      <c r="P56" s="55"/>
      <c r="Q56" s="55"/>
      <c r="R56" s="323"/>
    </row>
    <row r="57" spans="1:18" ht="14.25" thickBot="1" thickTop="1">
      <c r="A57" s="718"/>
      <c r="B57" s="719"/>
      <c r="C57" s="720"/>
      <c r="D57" s="721"/>
      <c r="E57" s="722" t="s">
        <v>0</v>
      </c>
      <c r="F57" s="198">
        <f>SUM(G57:I57)</f>
        <v>1800</v>
      </c>
      <c r="G57" s="726">
        <f>SUM(G58:G60)</f>
        <v>1500</v>
      </c>
      <c r="H57" s="725">
        <f>SUM(H58:H60)</f>
        <v>300</v>
      </c>
      <c r="I57" s="725">
        <f>SUM(I60:I60)</f>
        <v>0</v>
      </c>
      <c r="J57" s="724">
        <f>SUM(K57:M57)</f>
        <v>1906</v>
      </c>
      <c r="K57" s="725">
        <f>SUM(K58:K60)</f>
        <v>1606</v>
      </c>
      <c r="L57" s="725">
        <f>SUM(L58:L60)</f>
        <v>300</v>
      </c>
      <c r="M57" s="725">
        <f>SUM(M58:M60)</f>
        <v>0</v>
      </c>
      <c r="N57" s="198">
        <f>SUM(O57:Q57)</f>
        <v>1869.2</v>
      </c>
      <c r="O57" s="726">
        <f>SUM(O58:O60)</f>
        <v>1605.54</v>
      </c>
      <c r="P57" s="725">
        <f>SUM(P58:P60)</f>
        <v>263.66</v>
      </c>
      <c r="Q57" s="727">
        <f>SUM(Q58:Q60)</f>
        <v>0</v>
      </c>
      <c r="R57" s="324">
        <f>SUM(N57/J57)</f>
        <v>0.9806925498426023</v>
      </c>
    </row>
    <row r="58" spans="1:18" ht="13.5" thickTop="1">
      <c r="A58" s="786" t="s">
        <v>59</v>
      </c>
      <c r="B58" s="697">
        <v>2212</v>
      </c>
      <c r="C58" s="698" t="s">
        <v>47</v>
      </c>
      <c r="D58" s="730">
        <v>10</v>
      </c>
      <c r="E58" s="597" t="s">
        <v>54</v>
      </c>
      <c r="F58" s="732">
        <f>SUM(G58:I58)</f>
        <v>1500</v>
      </c>
      <c r="G58" s="733">
        <v>1500</v>
      </c>
      <c r="H58" s="734"/>
      <c r="I58" s="703"/>
      <c r="J58" s="735">
        <f>SUM(K58:M58)</f>
        <v>1500</v>
      </c>
      <c r="K58" s="736">
        <v>1500</v>
      </c>
      <c r="L58" s="702"/>
      <c r="M58" s="702"/>
      <c r="N58" s="732">
        <f>SUM(O58:Q58)</f>
        <v>1499.54</v>
      </c>
      <c r="O58" s="639">
        <v>1499.54</v>
      </c>
      <c r="P58" s="702"/>
      <c r="Q58" s="737"/>
      <c r="R58" s="322"/>
    </row>
    <row r="59" spans="1:18" ht="13.5" thickBot="1">
      <c r="A59" s="787" t="s">
        <v>59</v>
      </c>
      <c r="B59" s="711">
        <v>2212</v>
      </c>
      <c r="C59" s="712" t="s">
        <v>47</v>
      </c>
      <c r="D59" s="788"/>
      <c r="E59" s="789" t="s">
        <v>54</v>
      </c>
      <c r="F59" s="742">
        <f>SUM(G59:I59)</f>
        <v>0</v>
      </c>
      <c r="G59" s="743">
        <v>0</v>
      </c>
      <c r="H59" s="792"/>
      <c r="I59" s="746"/>
      <c r="J59" s="791">
        <f>SUM(K59:M59)</f>
        <v>106</v>
      </c>
      <c r="K59" s="744">
        <v>106</v>
      </c>
      <c r="L59" s="670"/>
      <c r="M59" s="667"/>
      <c r="N59" s="790">
        <f>SUM(O59:Q59)</f>
        <v>106</v>
      </c>
      <c r="O59" s="635">
        <v>106</v>
      </c>
      <c r="P59" s="636"/>
      <c r="Q59" s="746"/>
      <c r="R59" s="322"/>
    </row>
    <row r="60" spans="1:18" ht="12.75">
      <c r="A60" s="41" t="s">
        <v>88</v>
      </c>
      <c r="B60" s="42">
        <v>2212</v>
      </c>
      <c r="C60" s="161" t="s">
        <v>47</v>
      </c>
      <c r="D60" s="162">
        <v>10</v>
      </c>
      <c r="E60" s="393" t="s">
        <v>128</v>
      </c>
      <c r="F60" s="173">
        <f>SUM(G60:I60)</f>
        <v>300</v>
      </c>
      <c r="G60" s="175"/>
      <c r="H60" s="166">
        <v>300</v>
      </c>
      <c r="I60" s="141"/>
      <c r="J60" s="126">
        <f>SUM(K60:M60)</f>
        <v>300</v>
      </c>
      <c r="K60" s="265"/>
      <c r="L60" s="246">
        <v>300</v>
      </c>
      <c r="M60" s="246"/>
      <c r="N60" s="173">
        <f>SUM(O60:Q60)</f>
        <v>263.66</v>
      </c>
      <c r="O60" s="245"/>
      <c r="P60" s="246">
        <v>263.66</v>
      </c>
      <c r="Q60" s="257"/>
      <c r="R60" s="322"/>
    </row>
    <row r="61" spans="1:18" ht="13.5" thickBot="1">
      <c r="A61" s="240" t="s">
        <v>25</v>
      </c>
      <c r="B61" s="241"/>
      <c r="C61" s="101"/>
      <c r="D61" s="47"/>
      <c r="E61" s="54"/>
      <c r="F61" s="132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323"/>
    </row>
    <row r="62" spans="1:18" ht="14.25" thickBot="1" thickTop="1">
      <c r="A62" s="56"/>
      <c r="B62" s="91"/>
      <c r="C62" s="102"/>
      <c r="D62" s="90"/>
      <c r="E62" s="52" t="s">
        <v>16</v>
      </c>
      <c r="F62" s="169">
        <f aca="true" t="shared" si="9" ref="F62:F100">SUM(G62:I62)</f>
        <v>100450</v>
      </c>
      <c r="G62" s="153">
        <f>SUM(G63:G125)</f>
        <v>100450</v>
      </c>
      <c r="H62" s="153">
        <f>SUM(H63:H125)</f>
        <v>0</v>
      </c>
      <c r="I62" s="153">
        <f>SUM(I63:I125)</f>
        <v>0</v>
      </c>
      <c r="J62" s="151">
        <f aca="true" t="shared" si="10" ref="J62:J103">SUM(K62:M62)</f>
        <v>73663.7</v>
      </c>
      <c r="K62" s="152">
        <f>SUM(K63:K125)</f>
        <v>69970</v>
      </c>
      <c r="L62" s="152">
        <f>SUM(L63:L125)</f>
        <v>1800</v>
      </c>
      <c r="M62" s="152">
        <f>SUM(M63:M125)</f>
        <v>1893.6999999999998</v>
      </c>
      <c r="N62" s="169">
        <f aca="true" t="shared" si="11" ref="N62:N103">SUM(O62:Q62)</f>
        <v>25471.729999999996</v>
      </c>
      <c r="O62" s="153">
        <f>SUM(O63:O125)</f>
        <v>22651.069999999996</v>
      </c>
      <c r="P62" s="153">
        <f>SUM(P63:P125)</f>
        <v>1439.96</v>
      </c>
      <c r="Q62" s="271">
        <f>SUM(Q63:Q125)</f>
        <v>1380.6999999999998</v>
      </c>
      <c r="R62" s="324">
        <f>SUM(N62/J62)</f>
        <v>0.3457840157363803</v>
      </c>
    </row>
    <row r="63" spans="1:18" ht="13.5" thickTop="1">
      <c r="A63" s="452" t="s">
        <v>71</v>
      </c>
      <c r="B63" s="478">
        <v>3111</v>
      </c>
      <c r="C63" s="453" t="s">
        <v>42</v>
      </c>
      <c r="D63" s="454">
        <v>10</v>
      </c>
      <c r="E63" s="392" t="s">
        <v>129</v>
      </c>
      <c r="F63" s="455">
        <f t="shared" si="9"/>
        <v>2500</v>
      </c>
      <c r="G63" s="464">
        <v>2500</v>
      </c>
      <c r="H63" s="269"/>
      <c r="I63" s="372"/>
      <c r="J63" s="456">
        <f t="shared" si="10"/>
        <v>2500</v>
      </c>
      <c r="K63" s="464">
        <v>2500</v>
      </c>
      <c r="L63" s="457"/>
      <c r="M63" s="458"/>
      <c r="N63" s="455">
        <f t="shared" si="11"/>
        <v>1014.49</v>
      </c>
      <c r="O63" s="464">
        <v>1014.49</v>
      </c>
      <c r="P63" s="459"/>
      <c r="Q63" s="380"/>
      <c r="R63" s="322"/>
    </row>
    <row r="64" spans="1:18" ht="12.75">
      <c r="A64" s="460" t="s">
        <v>167</v>
      </c>
      <c r="B64" s="479">
        <v>3111</v>
      </c>
      <c r="C64" s="231" t="s">
        <v>42</v>
      </c>
      <c r="D64" s="461">
        <v>10</v>
      </c>
      <c r="E64" s="392" t="s">
        <v>130</v>
      </c>
      <c r="F64" s="174">
        <f>SUM(G64:I64)</f>
        <v>700</v>
      </c>
      <c r="G64" s="128">
        <v>700</v>
      </c>
      <c r="H64" s="259"/>
      <c r="I64" s="309"/>
      <c r="J64" s="462">
        <f t="shared" si="10"/>
        <v>0</v>
      </c>
      <c r="K64" s="450">
        <f>700-700</f>
        <v>0</v>
      </c>
      <c r="L64" s="260"/>
      <c r="M64" s="398"/>
      <c r="N64" s="174">
        <f t="shared" si="11"/>
        <v>0</v>
      </c>
      <c r="O64" s="450">
        <v>0</v>
      </c>
      <c r="P64" s="368"/>
      <c r="Q64" s="388"/>
      <c r="R64" s="322"/>
    </row>
    <row r="65" spans="1:18" ht="13.5" thickBot="1">
      <c r="A65" s="437" t="s">
        <v>82</v>
      </c>
      <c r="B65" s="480">
        <v>3111</v>
      </c>
      <c r="C65" s="498" t="s">
        <v>42</v>
      </c>
      <c r="D65" s="394">
        <v>10</v>
      </c>
      <c r="E65" s="393" t="s">
        <v>131</v>
      </c>
      <c r="F65" s="218">
        <f>SUM(G65:I65)</f>
        <v>200</v>
      </c>
      <c r="G65" s="252">
        <v>200</v>
      </c>
      <c r="H65" s="248"/>
      <c r="I65" s="186"/>
      <c r="J65" s="499">
        <f t="shared" si="10"/>
        <v>200</v>
      </c>
      <c r="K65" s="252">
        <v>200</v>
      </c>
      <c r="L65" s="395"/>
      <c r="M65" s="396"/>
      <c r="N65" s="218">
        <f t="shared" si="11"/>
        <v>54.45</v>
      </c>
      <c r="O65" s="919">
        <v>54.45</v>
      </c>
      <c r="P65" s="418"/>
      <c r="Q65" s="439"/>
      <c r="R65" s="322"/>
    </row>
    <row r="66" spans="1:18" ht="12.75">
      <c r="A66" s="620" t="s">
        <v>168</v>
      </c>
      <c r="B66" s="621">
        <v>3111</v>
      </c>
      <c r="C66" s="622" t="s">
        <v>42</v>
      </c>
      <c r="D66" s="623">
        <v>10</v>
      </c>
      <c r="E66" s="624" t="s">
        <v>132</v>
      </c>
      <c r="F66" s="625">
        <f t="shared" si="9"/>
        <v>3000</v>
      </c>
      <c r="G66" s="626">
        <v>3000</v>
      </c>
      <c r="H66" s="627"/>
      <c r="I66" s="628"/>
      <c r="J66" s="638">
        <f t="shared" si="10"/>
        <v>4300</v>
      </c>
      <c r="K66" s="639">
        <f>3000+1300</f>
        <v>4300</v>
      </c>
      <c r="L66" s="640"/>
      <c r="M66" s="641"/>
      <c r="N66" s="642">
        <f t="shared" si="11"/>
        <v>893.41</v>
      </c>
      <c r="O66" s="920">
        <v>893.41</v>
      </c>
      <c r="P66" s="643"/>
      <c r="Q66" s="644"/>
      <c r="R66" s="322"/>
    </row>
    <row r="67" spans="1:18" ht="13.5" thickBot="1">
      <c r="A67" s="629" t="s">
        <v>168</v>
      </c>
      <c r="B67" s="630">
        <v>3111</v>
      </c>
      <c r="C67" s="631" t="s">
        <v>42</v>
      </c>
      <c r="D67" s="632">
        <v>210</v>
      </c>
      <c r="E67" s="633" t="s">
        <v>132</v>
      </c>
      <c r="F67" s="634">
        <v>0</v>
      </c>
      <c r="G67" s="635"/>
      <c r="H67" s="636"/>
      <c r="I67" s="637"/>
      <c r="J67" s="645">
        <f>SUM(K67:M67)</f>
        <v>500</v>
      </c>
      <c r="K67" s="646">
        <v>500</v>
      </c>
      <c r="L67" s="647"/>
      <c r="M67" s="648"/>
      <c r="N67" s="649">
        <f>SUM(O67:Q67)</f>
        <v>0</v>
      </c>
      <c r="O67" s="921">
        <v>0</v>
      </c>
      <c r="P67" s="650"/>
      <c r="Q67" s="651"/>
      <c r="R67" s="322"/>
    </row>
    <row r="68" spans="1:18" ht="12.75">
      <c r="A68" s="545" t="s">
        <v>81</v>
      </c>
      <c r="B68" s="546">
        <v>3111</v>
      </c>
      <c r="C68" s="547" t="s">
        <v>42</v>
      </c>
      <c r="D68" s="338">
        <v>10</v>
      </c>
      <c r="E68" s="392" t="s">
        <v>133</v>
      </c>
      <c r="F68" s="171">
        <f t="shared" si="9"/>
        <v>3500</v>
      </c>
      <c r="G68" s="111">
        <v>3500</v>
      </c>
      <c r="H68" s="246"/>
      <c r="I68" s="141"/>
      <c r="J68" s="548">
        <f t="shared" si="10"/>
        <v>0</v>
      </c>
      <c r="K68" s="245">
        <f>3500-3500</f>
        <v>0</v>
      </c>
      <c r="L68" s="305"/>
      <c r="M68" s="549"/>
      <c r="N68" s="171">
        <f t="shared" si="11"/>
        <v>0</v>
      </c>
      <c r="O68" s="922">
        <v>0</v>
      </c>
      <c r="P68" s="550"/>
      <c r="Q68" s="306"/>
      <c r="R68" s="322"/>
    </row>
    <row r="69" spans="1:18" ht="12.75">
      <c r="A69" s="545" t="s">
        <v>80</v>
      </c>
      <c r="B69" s="546">
        <v>3111</v>
      </c>
      <c r="C69" s="547" t="s">
        <v>42</v>
      </c>
      <c r="D69" s="338">
        <v>10</v>
      </c>
      <c r="E69" s="392" t="s">
        <v>89</v>
      </c>
      <c r="F69" s="171">
        <f t="shared" si="9"/>
        <v>1000</v>
      </c>
      <c r="G69" s="245">
        <v>1000</v>
      </c>
      <c r="H69" s="246"/>
      <c r="I69" s="141"/>
      <c r="J69" s="559">
        <f t="shared" si="10"/>
        <v>730</v>
      </c>
      <c r="K69" s="245">
        <f>1000-270</f>
        <v>730</v>
      </c>
      <c r="L69" s="305"/>
      <c r="M69" s="549"/>
      <c r="N69" s="171">
        <f t="shared" si="11"/>
        <v>725.32</v>
      </c>
      <c r="O69" s="922">
        <v>725.32</v>
      </c>
      <c r="P69" s="550"/>
      <c r="Q69" s="306"/>
      <c r="R69" s="322"/>
    </row>
    <row r="70" spans="1:18" ht="12.75">
      <c r="A70" s="460" t="s">
        <v>86</v>
      </c>
      <c r="B70" s="479">
        <v>3111</v>
      </c>
      <c r="C70" s="558" t="s">
        <v>42</v>
      </c>
      <c r="D70" s="375">
        <v>10</v>
      </c>
      <c r="E70" s="392" t="s">
        <v>134</v>
      </c>
      <c r="F70" s="171">
        <f t="shared" si="9"/>
        <v>800</v>
      </c>
      <c r="G70" s="243">
        <v>800</v>
      </c>
      <c r="H70" s="244"/>
      <c r="I70" s="131"/>
      <c r="J70" s="559">
        <f>SUM(K70:M70)</f>
        <v>800</v>
      </c>
      <c r="K70" s="245">
        <v>800</v>
      </c>
      <c r="L70" s="305"/>
      <c r="M70" s="549"/>
      <c r="N70" s="171">
        <f>SUM(O70:Q70)</f>
        <v>682.48</v>
      </c>
      <c r="O70" s="922">
        <v>682.48</v>
      </c>
      <c r="P70" s="550"/>
      <c r="Q70" s="306"/>
      <c r="R70" s="322"/>
    </row>
    <row r="71" spans="1:18" ht="12.75">
      <c r="A71" s="460" t="s">
        <v>85</v>
      </c>
      <c r="B71" s="479">
        <v>3111</v>
      </c>
      <c r="C71" s="558" t="s">
        <v>42</v>
      </c>
      <c r="D71" s="375">
        <v>210</v>
      </c>
      <c r="E71" s="518" t="s">
        <v>135</v>
      </c>
      <c r="F71" s="174">
        <f t="shared" si="9"/>
        <v>5000</v>
      </c>
      <c r="G71" s="243">
        <v>5000</v>
      </c>
      <c r="H71" s="244"/>
      <c r="I71" s="131"/>
      <c r="J71" s="583">
        <f t="shared" si="10"/>
        <v>1500</v>
      </c>
      <c r="K71" s="243">
        <f>5000-3500</f>
        <v>1500</v>
      </c>
      <c r="L71" s="260"/>
      <c r="M71" s="398"/>
      <c r="N71" s="174">
        <f t="shared" si="11"/>
        <v>1038.92</v>
      </c>
      <c r="O71" s="450">
        <v>1038.92</v>
      </c>
      <c r="P71" s="582"/>
      <c r="Q71" s="497"/>
      <c r="R71" s="322"/>
    </row>
    <row r="72" spans="1:18" ht="12.75" customHeight="1" thickBot="1">
      <c r="A72" s="673" t="s">
        <v>84</v>
      </c>
      <c r="B72" s="674">
        <v>3111</v>
      </c>
      <c r="C72" s="675" t="s">
        <v>42</v>
      </c>
      <c r="D72" s="676">
        <v>10</v>
      </c>
      <c r="E72" s="393" t="s">
        <v>136</v>
      </c>
      <c r="F72" s="344">
        <f>SUM(G72:I72)</f>
        <v>1500</v>
      </c>
      <c r="G72" s="556">
        <v>1500</v>
      </c>
      <c r="H72" s="301"/>
      <c r="I72" s="188"/>
      <c r="J72" s="677">
        <f t="shared" si="10"/>
        <v>1100</v>
      </c>
      <c r="K72" s="556">
        <f>1500-400</f>
        <v>1100</v>
      </c>
      <c r="L72" s="604"/>
      <c r="M72" s="678"/>
      <c r="N72" s="344">
        <f t="shared" si="11"/>
        <v>787.9</v>
      </c>
      <c r="O72" s="923">
        <v>787.9</v>
      </c>
      <c r="P72" s="679"/>
      <c r="Q72" s="436"/>
      <c r="R72" s="322"/>
    </row>
    <row r="73" spans="1:18" ht="12.75">
      <c r="A73" s="620" t="s">
        <v>87</v>
      </c>
      <c r="B73" s="621">
        <v>3111</v>
      </c>
      <c r="C73" s="681" t="s">
        <v>42</v>
      </c>
      <c r="D73" s="623">
        <v>10</v>
      </c>
      <c r="E73" s="624" t="s">
        <v>137</v>
      </c>
      <c r="F73" s="642">
        <f>SUM(G73:I73)</f>
        <v>500</v>
      </c>
      <c r="G73" s="626">
        <v>500</v>
      </c>
      <c r="H73" s="627"/>
      <c r="I73" s="628"/>
      <c r="J73" s="682">
        <f t="shared" si="10"/>
        <v>900</v>
      </c>
      <c r="K73" s="626"/>
      <c r="L73" s="683">
        <v>900</v>
      </c>
      <c r="M73" s="684"/>
      <c r="N73" s="625">
        <f t="shared" si="11"/>
        <v>698.26</v>
      </c>
      <c r="O73" s="685"/>
      <c r="P73" s="924">
        <v>698.26</v>
      </c>
      <c r="Q73" s="686"/>
      <c r="R73" s="322"/>
    </row>
    <row r="74" spans="1:18" ht="13.5" thickBot="1">
      <c r="A74" s="629" t="s">
        <v>87</v>
      </c>
      <c r="B74" s="630">
        <v>3111</v>
      </c>
      <c r="C74" s="687" t="s">
        <v>42</v>
      </c>
      <c r="D74" s="632">
        <v>210</v>
      </c>
      <c r="E74" s="633" t="s">
        <v>137</v>
      </c>
      <c r="F74" s="634">
        <v>0</v>
      </c>
      <c r="G74" s="635"/>
      <c r="H74" s="636"/>
      <c r="I74" s="637"/>
      <c r="J74" s="688">
        <f>SUM(K74:M74)</f>
        <v>50</v>
      </c>
      <c r="K74" s="635"/>
      <c r="L74" s="689">
        <v>50</v>
      </c>
      <c r="M74" s="690"/>
      <c r="N74" s="634">
        <f>SUM(O74:Q74)</f>
        <v>0</v>
      </c>
      <c r="O74" s="691"/>
      <c r="P74" s="925">
        <v>0</v>
      </c>
      <c r="Q74" s="692"/>
      <c r="R74" s="322"/>
    </row>
    <row r="75" spans="1:18" ht="12.75">
      <c r="A75" s="680" t="s">
        <v>169</v>
      </c>
      <c r="B75" s="481">
        <v>3111</v>
      </c>
      <c r="C75" s="420" t="s">
        <v>42</v>
      </c>
      <c r="D75" s="179">
        <v>10</v>
      </c>
      <c r="E75" s="392" t="s">
        <v>138</v>
      </c>
      <c r="F75" s="171">
        <f t="shared" si="9"/>
        <v>100</v>
      </c>
      <c r="G75" s="111">
        <v>100</v>
      </c>
      <c r="H75" s="57"/>
      <c r="I75" s="141"/>
      <c r="J75" s="421">
        <f t="shared" si="10"/>
        <v>0</v>
      </c>
      <c r="K75" s="245">
        <f>100-100</f>
        <v>0</v>
      </c>
      <c r="L75" s="257"/>
      <c r="M75" s="422"/>
      <c r="N75" s="423">
        <f t="shared" si="11"/>
        <v>0</v>
      </c>
      <c r="O75" s="253">
        <v>0</v>
      </c>
      <c r="P75" s="424"/>
      <c r="Q75" s="297"/>
      <c r="R75" s="322"/>
    </row>
    <row r="76" spans="1:18" ht="12.75">
      <c r="A76" s="399">
        <v>20616</v>
      </c>
      <c r="B76" s="482">
        <v>3111</v>
      </c>
      <c r="C76" s="230" t="s">
        <v>42</v>
      </c>
      <c r="D76" s="176">
        <v>10</v>
      </c>
      <c r="E76" s="392" t="s">
        <v>139</v>
      </c>
      <c r="F76" s="174">
        <f t="shared" si="9"/>
        <v>200</v>
      </c>
      <c r="G76" s="110">
        <v>200</v>
      </c>
      <c r="H76" s="44"/>
      <c r="I76" s="131"/>
      <c r="J76" s="108">
        <f t="shared" si="10"/>
        <v>60</v>
      </c>
      <c r="K76" s="110">
        <f>200-140</f>
        <v>60</v>
      </c>
      <c r="L76" s="259"/>
      <c r="M76" s="267"/>
      <c r="N76" s="197">
        <f t="shared" si="11"/>
        <v>25.41</v>
      </c>
      <c r="O76" s="251">
        <v>25.41</v>
      </c>
      <c r="P76" s="368"/>
      <c r="Q76" s="309"/>
      <c r="R76" s="322"/>
    </row>
    <row r="77" spans="1:18" ht="12.75">
      <c r="A77" s="399">
        <v>20617</v>
      </c>
      <c r="B77" s="482">
        <v>3111</v>
      </c>
      <c r="C77" s="230" t="s">
        <v>42</v>
      </c>
      <c r="D77" s="176">
        <v>10</v>
      </c>
      <c r="E77" s="392" t="s">
        <v>140</v>
      </c>
      <c r="F77" s="174">
        <f t="shared" si="9"/>
        <v>200</v>
      </c>
      <c r="G77" s="110">
        <v>200</v>
      </c>
      <c r="H77" s="44"/>
      <c r="I77" s="131"/>
      <c r="J77" s="108">
        <f t="shared" si="10"/>
        <v>60</v>
      </c>
      <c r="K77" s="243">
        <f>200-140</f>
        <v>60</v>
      </c>
      <c r="L77" s="259"/>
      <c r="M77" s="267"/>
      <c r="N77" s="197">
        <f t="shared" si="11"/>
        <v>59.29</v>
      </c>
      <c r="O77" s="251">
        <v>59.29</v>
      </c>
      <c r="P77" s="368"/>
      <c r="Q77" s="309"/>
      <c r="R77" s="322"/>
    </row>
    <row r="78" spans="1:18" s="214" customFormat="1" ht="13.5" thickBot="1">
      <c r="A78" s="542">
        <v>19612</v>
      </c>
      <c r="B78" s="483">
        <v>3111</v>
      </c>
      <c r="C78" s="413" t="s">
        <v>42</v>
      </c>
      <c r="D78" s="414">
        <v>10</v>
      </c>
      <c r="E78" s="393" t="s">
        <v>141</v>
      </c>
      <c r="F78" s="218">
        <f t="shared" si="9"/>
        <v>100</v>
      </c>
      <c r="G78" s="236">
        <v>100</v>
      </c>
      <c r="H78" s="184"/>
      <c r="I78" s="186"/>
      <c r="J78" s="415">
        <f t="shared" si="10"/>
        <v>0</v>
      </c>
      <c r="K78" s="247">
        <f>100-100</f>
        <v>0</v>
      </c>
      <c r="L78" s="270"/>
      <c r="M78" s="416"/>
      <c r="N78" s="417">
        <f t="shared" si="11"/>
        <v>0</v>
      </c>
      <c r="O78" s="252">
        <v>0</v>
      </c>
      <c r="P78" s="418"/>
      <c r="Q78" s="439"/>
      <c r="R78" s="322"/>
    </row>
    <row r="79" spans="1:18" s="214" customFormat="1" ht="12.75">
      <c r="A79" s="728" t="s">
        <v>308</v>
      </c>
      <c r="B79" s="780">
        <v>3111</v>
      </c>
      <c r="C79" s="781" t="s">
        <v>42</v>
      </c>
      <c r="D79" s="782">
        <v>210</v>
      </c>
      <c r="E79" s="794" t="s">
        <v>142</v>
      </c>
      <c r="F79" s="642">
        <f t="shared" si="9"/>
        <v>15000</v>
      </c>
      <c r="G79" s="639">
        <v>15000</v>
      </c>
      <c r="H79" s="702"/>
      <c r="I79" s="703"/>
      <c r="J79" s="704">
        <f t="shared" si="10"/>
        <v>0</v>
      </c>
      <c r="K79" s="639">
        <f>15000-2000-2000-1200-300-3000-550-2000-450-3500</f>
        <v>0</v>
      </c>
      <c r="L79" s="705"/>
      <c r="M79" s="706">
        <f>450-450</f>
        <v>0</v>
      </c>
      <c r="N79" s="707">
        <f t="shared" si="11"/>
        <v>0</v>
      </c>
      <c r="O79" s="701">
        <v>0</v>
      </c>
      <c r="P79" s="708"/>
      <c r="Q79" s="737">
        <v>0</v>
      </c>
      <c r="R79" s="322"/>
    </row>
    <row r="80" spans="1:18" s="214" customFormat="1" ht="12.75">
      <c r="A80" s="750" t="s">
        <v>266</v>
      </c>
      <c r="B80" s="481">
        <v>3111</v>
      </c>
      <c r="C80" s="420" t="s">
        <v>42</v>
      </c>
      <c r="D80" s="179">
        <v>210</v>
      </c>
      <c r="E80" s="392" t="s">
        <v>142</v>
      </c>
      <c r="F80" s="171">
        <f>SUM(G80:I80)</f>
        <v>0</v>
      </c>
      <c r="G80" s="245">
        <v>0</v>
      </c>
      <c r="H80" s="246"/>
      <c r="I80" s="141"/>
      <c r="J80" s="421">
        <f>SUM(K80:M80)</f>
        <v>450</v>
      </c>
      <c r="K80" s="245"/>
      <c r="L80" s="257"/>
      <c r="M80" s="422">
        <v>450</v>
      </c>
      <c r="N80" s="423">
        <f>SUM(O80:Q80)</f>
        <v>0</v>
      </c>
      <c r="O80" s="253"/>
      <c r="P80" s="424"/>
      <c r="Q80" s="297">
        <v>0</v>
      </c>
      <c r="R80" s="322"/>
    </row>
    <row r="81" spans="1:18" s="214" customFormat="1" ht="12.75" customHeight="1" thickBot="1">
      <c r="A81" s="795" t="s">
        <v>266</v>
      </c>
      <c r="B81" s="739">
        <v>3111</v>
      </c>
      <c r="C81" s="740" t="s">
        <v>42</v>
      </c>
      <c r="D81" s="771">
        <v>84</v>
      </c>
      <c r="E81" s="783" t="s">
        <v>267</v>
      </c>
      <c r="F81" s="634">
        <f>SUM(G81:I81)</f>
        <v>0</v>
      </c>
      <c r="G81" s="670">
        <v>0</v>
      </c>
      <c r="H81" s="667"/>
      <c r="I81" s="746"/>
      <c r="J81" s="784">
        <f>SUM(K81:M81)</f>
        <v>14000</v>
      </c>
      <c r="K81" s="636">
        <v>14000</v>
      </c>
      <c r="L81" s="667"/>
      <c r="M81" s="668"/>
      <c r="N81" s="669">
        <f>SUM(O81:Q81)</f>
        <v>0</v>
      </c>
      <c r="O81" s="670">
        <v>0</v>
      </c>
      <c r="P81" s="671"/>
      <c r="Q81" s="672"/>
      <c r="R81" s="322"/>
    </row>
    <row r="82" spans="1:18" s="214" customFormat="1" ht="12.75">
      <c r="A82" s="680" t="s">
        <v>65</v>
      </c>
      <c r="B82" s="481">
        <v>3111</v>
      </c>
      <c r="C82" s="420" t="s">
        <v>42</v>
      </c>
      <c r="D82" s="179">
        <v>10</v>
      </c>
      <c r="E82" s="392" t="s">
        <v>143</v>
      </c>
      <c r="F82" s="171">
        <f t="shared" si="9"/>
        <v>6500</v>
      </c>
      <c r="G82" s="111">
        <v>6500</v>
      </c>
      <c r="H82" s="57"/>
      <c r="I82" s="141"/>
      <c r="J82" s="421">
        <f t="shared" si="10"/>
        <v>2500</v>
      </c>
      <c r="K82" s="245">
        <f>6500-4000</f>
        <v>2500</v>
      </c>
      <c r="L82" s="257"/>
      <c r="M82" s="422"/>
      <c r="N82" s="423">
        <f t="shared" si="11"/>
        <v>0</v>
      </c>
      <c r="O82" s="253">
        <v>0</v>
      </c>
      <c r="P82" s="424"/>
      <c r="Q82" s="297"/>
      <c r="R82" s="322"/>
    </row>
    <row r="83" spans="1:18" ht="12.75">
      <c r="A83" s="356" t="s">
        <v>72</v>
      </c>
      <c r="B83" s="482">
        <v>3111</v>
      </c>
      <c r="C83" s="584" t="s">
        <v>42</v>
      </c>
      <c r="D83" s="176">
        <v>210</v>
      </c>
      <c r="E83" s="518" t="s">
        <v>144</v>
      </c>
      <c r="F83" s="174">
        <f t="shared" si="9"/>
        <v>5000</v>
      </c>
      <c r="G83" s="110">
        <v>5000</v>
      </c>
      <c r="H83" s="44"/>
      <c r="I83" s="131"/>
      <c r="J83" s="108">
        <f t="shared" si="10"/>
        <v>2500</v>
      </c>
      <c r="K83" s="243">
        <f>5000-2500</f>
        <v>2500</v>
      </c>
      <c r="L83" s="259"/>
      <c r="M83" s="267"/>
      <c r="N83" s="197">
        <f t="shared" si="11"/>
        <v>77.5</v>
      </c>
      <c r="O83" s="251">
        <v>77.5</v>
      </c>
      <c r="P83" s="368"/>
      <c r="Q83" s="309"/>
      <c r="R83" s="322"/>
    </row>
    <row r="84" spans="1:18" ht="12.75">
      <c r="A84" s="541">
        <v>19602</v>
      </c>
      <c r="B84" s="481">
        <v>3111</v>
      </c>
      <c r="C84" s="420" t="s">
        <v>42</v>
      </c>
      <c r="D84" s="179">
        <v>10</v>
      </c>
      <c r="E84" s="495" t="s">
        <v>145</v>
      </c>
      <c r="F84" s="171">
        <f t="shared" si="9"/>
        <v>2000</v>
      </c>
      <c r="G84" s="245">
        <v>2000</v>
      </c>
      <c r="H84" s="246"/>
      <c r="I84" s="141"/>
      <c r="J84" s="421">
        <f t="shared" si="10"/>
        <v>500</v>
      </c>
      <c r="K84" s="245">
        <f>2000-1500</f>
        <v>500</v>
      </c>
      <c r="L84" s="257"/>
      <c r="M84" s="422"/>
      <c r="N84" s="423">
        <f t="shared" si="11"/>
        <v>150</v>
      </c>
      <c r="O84" s="253">
        <v>150</v>
      </c>
      <c r="P84" s="424"/>
      <c r="Q84" s="297"/>
      <c r="R84" s="322"/>
    </row>
    <row r="85" spans="1:18" ht="12.75">
      <c r="A85" s="608" t="s">
        <v>170</v>
      </c>
      <c r="B85" s="481">
        <v>3111</v>
      </c>
      <c r="C85" s="420" t="s">
        <v>42</v>
      </c>
      <c r="D85" s="179">
        <v>10</v>
      </c>
      <c r="E85" s="495" t="s">
        <v>146</v>
      </c>
      <c r="F85" s="171">
        <f>SUM(G85:I85)</f>
        <v>100</v>
      </c>
      <c r="G85" s="245">
        <v>100</v>
      </c>
      <c r="H85" s="246"/>
      <c r="I85" s="141"/>
      <c r="J85" s="421">
        <f>SUM(K85:M85)</f>
        <v>0</v>
      </c>
      <c r="K85" s="245">
        <f>100-100</f>
        <v>0</v>
      </c>
      <c r="L85" s="257"/>
      <c r="M85" s="422"/>
      <c r="N85" s="423">
        <f>SUM(O85:Q85)</f>
        <v>0</v>
      </c>
      <c r="O85" s="253">
        <v>0</v>
      </c>
      <c r="P85" s="424"/>
      <c r="Q85" s="297"/>
      <c r="R85" s="322"/>
    </row>
    <row r="86" spans="1:18" ht="12.75">
      <c r="A86" s="356" t="s">
        <v>171</v>
      </c>
      <c r="B86" s="482">
        <v>3111</v>
      </c>
      <c r="C86" s="230" t="s">
        <v>42</v>
      </c>
      <c r="D86" s="176">
        <v>10</v>
      </c>
      <c r="E86" s="494" t="s">
        <v>147</v>
      </c>
      <c r="F86" s="174">
        <f>SUM(G86:I86)</f>
        <v>1900</v>
      </c>
      <c r="G86" s="110">
        <v>1900</v>
      </c>
      <c r="H86" s="244"/>
      <c r="I86" s="131"/>
      <c r="J86" s="108">
        <f>SUM(K86:M86)</f>
        <v>0</v>
      </c>
      <c r="K86" s="110">
        <f>1900-1900</f>
        <v>0</v>
      </c>
      <c r="L86" s="259"/>
      <c r="M86" s="267"/>
      <c r="N86" s="197">
        <f>SUM(O86:Q86)</f>
        <v>0</v>
      </c>
      <c r="O86" s="251">
        <v>0</v>
      </c>
      <c r="P86" s="368"/>
      <c r="Q86" s="309"/>
      <c r="R86" s="322"/>
    </row>
    <row r="87" spans="1:18" ht="12.75">
      <c r="A87" s="680" t="s">
        <v>294</v>
      </c>
      <c r="B87" s="481">
        <v>3111</v>
      </c>
      <c r="C87" s="420" t="s">
        <v>42</v>
      </c>
      <c r="D87" s="179"/>
      <c r="E87" s="495" t="s">
        <v>309</v>
      </c>
      <c r="F87" s="171">
        <f>SUM(G87:I87)</f>
        <v>0</v>
      </c>
      <c r="G87" s="111">
        <v>0</v>
      </c>
      <c r="H87" s="246"/>
      <c r="I87" s="141"/>
      <c r="J87" s="421">
        <f>SUM(K87:M87)</f>
        <v>160</v>
      </c>
      <c r="K87" s="245"/>
      <c r="L87" s="257"/>
      <c r="M87" s="422">
        <f>80+80</f>
        <v>160</v>
      </c>
      <c r="N87" s="423">
        <f>SUM(O87:Q87)</f>
        <v>160</v>
      </c>
      <c r="O87" s="253"/>
      <c r="P87" s="424"/>
      <c r="Q87" s="425">
        <v>160</v>
      </c>
      <c r="R87" s="322"/>
    </row>
    <row r="88" spans="1:18" ht="12.75">
      <c r="A88" s="541">
        <v>18621</v>
      </c>
      <c r="B88" s="481">
        <v>3113</v>
      </c>
      <c r="C88" s="420" t="s">
        <v>42</v>
      </c>
      <c r="D88" s="179">
        <v>210</v>
      </c>
      <c r="E88" s="392" t="s">
        <v>148</v>
      </c>
      <c r="F88" s="171">
        <f t="shared" si="9"/>
        <v>5000</v>
      </c>
      <c r="G88" s="111">
        <v>5000</v>
      </c>
      <c r="H88" s="57"/>
      <c r="I88" s="141"/>
      <c r="J88" s="421">
        <f t="shared" si="10"/>
        <v>3800</v>
      </c>
      <c r="K88" s="245">
        <f>5000-1200</f>
        <v>3800</v>
      </c>
      <c r="L88" s="257"/>
      <c r="M88" s="422"/>
      <c r="N88" s="423">
        <f t="shared" si="11"/>
        <v>0</v>
      </c>
      <c r="O88" s="253">
        <v>0</v>
      </c>
      <c r="P88" s="424"/>
      <c r="Q88" s="425"/>
      <c r="R88" s="322"/>
    </row>
    <row r="89" spans="1:18" ht="13.5" thickBot="1">
      <c r="A89" s="542">
        <v>19614</v>
      </c>
      <c r="B89" s="483">
        <v>3113</v>
      </c>
      <c r="C89" s="413" t="s">
        <v>42</v>
      </c>
      <c r="D89" s="414">
        <v>210</v>
      </c>
      <c r="E89" s="393" t="s">
        <v>149</v>
      </c>
      <c r="F89" s="218">
        <f t="shared" si="9"/>
        <v>8000</v>
      </c>
      <c r="G89" s="236">
        <v>8000</v>
      </c>
      <c r="H89" s="184"/>
      <c r="I89" s="186"/>
      <c r="J89" s="415">
        <f t="shared" si="10"/>
        <v>6000</v>
      </c>
      <c r="K89" s="247">
        <f>8000-2000</f>
        <v>6000</v>
      </c>
      <c r="L89" s="270"/>
      <c r="M89" s="416"/>
      <c r="N89" s="417">
        <f t="shared" si="11"/>
        <v>4352.17</v>
      </c>
      <c r="O89" s="252">
        <v>4352.17</v>
      </c>
      <c r="P89" s="418"/>
      <c r="Q89" s="419"/>
      <c r="R89" s="322"/>
    </row>
    <row r="90" spans="1:18" ht="12.75">
      <c r="A90" s="779">
        <v>19615</v>
      </c>
      <c r="B90" s="780">
        <v>3113</v>
      </c>
      <c r="C90" s="781" t="s">
        <v>42</v>
      </c>
      <c r="D90" s="782">
        <v>210</v>
      </c>
      <c r="E90" s="794" t="s">
        <v>150</v>
      </c>
      <c r="F90" s="642">
        <f t="shared" si="9"/>
        <v>10000</v>
      </c>
      <c r="G90" s="639">
        <v>10000</v>
      </c>
      <c r="H90" s="702"/>
      <c r="I90" s="703"/>
      <c r="J90" s="797">
        <f t="shared" si="10"/>
        <v>0</v>
      </c>
      <c r="K90" s="639">
        <f>10000-850-1000-750-50-1100-2100-4150</f>
        <v>0</v>
      </c>
      <c r="L90" s="705"/>
      <c r="M90" s="706"/>
      <c r="N90" s="707">
        <f t="shared" si="11"/>
        <v>0</v>
      </c>
      <c r="O90" s="701">
        <v>0</v>
      </c>
      <c r="P90" s="708"/>
      <c r="Q90" s="709"/>
      <c r="R90" s="322"/>
    </row>
    <row r="91" spans="1:18" ht="12.75">
      <c r="A91" s="872" t="s">
        <v>299</v>
      </c>
      <c r="B91" s="481">
        <v>3113</v>
      </c>
      <c r="C91" s="420" t="s">
        <v>42</v>
      </c>
      <c r="D91" s="179">
        <v>210</v>
      </c>
      <c r="E91" s="392" t="s">
        <v>150</v>
      </c>
      <c r="F91" s="171">
        <f>SUM(G91:I91)</f>
        <v>0</v>
      </c>
      <c r="G91" s="245">
        <v>0</v>
      </c>
      <c r="H91" s="246"/>
      <c r="I91" s="141"/>
      <c r="J91" s="421">
        <f>SUM(K91:M91)</f>
        <v>4150</v>
      </c>
      <c r="K91" s="245">
        <f>10000-850-1000-750-50-1100-2100</f>
        <v>4150</v>
      </c>
      <c r="L91" s="257"/>
      <c r="M91" s="422"/>
      <c r="N91" s="423">
        <f>SUM(O91:Q91)</f>
        <v>1258.59</v>
      </c>
      <c r="O91" s="253">
        <v>1258.59</v>
      </c>
      <c r="P91" s="424"/>
      <c r="Q91" s="425"/>
      <c r="R91" s="322"/>
    </row>
    <row r="92" spans="1:18" ht="13.5" thickBot="1">
      <c r="A92" s="795" t="s">
        <v>299</v>
      </c>
      <c r="B92" s="663">
        <v>3113</v>
      </c>
      <c r="C92" s="664" t="s">
        <v>42</v>
      </c>
      <c r="D92" s="665">
        <v>84</v>
      </c>
      <c r="E92" s="633" t="s">
        <v>150</v>
      </c>
      <c r="F92" s="634">
        <f>SUM(G92:I92)</f>
        <v>0</v>
      </c>
      <c r="G92" s="635">
        <v>0</v>
      </c>
      <c r="H92" s="636"/>
      <c r="I92" s="637"/>
      <c r="J92" s="666">
        <f>SUM(K92:M92)</f>
        <v>2000</v>
      </c>
      <c r="K92" s="635">
        <v>2000</v>
      </c>
      <c r="L92" s="667"/>
      <c r="M92" s="668"/>
      <c r="N92" s="669">
        <f>SUM(O92:Q92)</f>
        <v>2000</v>
      </c>
      <c r="O92" s="670">
        <v>2000</v>
      </c>
      <c r="P92" s="671"/>
      <c r="Q92" s="672"/>
      <c r="R92" s="322"/>
    </row>
    <row r="93" spans="1:18" ht="12.75">
      <c r="A93" s="541">
        <v>14636</v>
      </c>
      <c r="B93" s="481">
        <v>3113</v>
      </c>
      <c r="C93" s="420" t="s">
        <v>42</v>
      </c>
      <c r="D93" s="179">
        <v>10</v>
      </c>
      <c r="E93" s="392" t="s">
        <v>151</v>
      </c>
      <c r="F93" s="171">
        <f t="shared" si="9"/>
        <v>1200</v>
      </c>
      <c r="G93" s="111">
        <v>1200</v>
      </c>
      <c r="H93" s="57"/>
      <c r="I93" s="141"/>
      <c r="J93" s="421">
        <f t="shared" si="10"/>
        <v>500</v>
      </c>
      <c r="K93" s="111">
        <f>1200-700</f>
        <v>500</v>
      </c>
      <c r="L93" s="257"/>
      <c r="M93" s="422"/>
      <c r="N93" s="423">
        <f t="shared" si="11"/>
        <v>148.9</v>
      </c>
      <c r="O93" s="253">
        <v>148.9</v>
      </c>
      <c r="P93" s="424"/>
      <c r="Q93" s="425"/>
      <c r="R93" s="322"/>
    </row>
    <row r="94" spans="1:18" ht="12.75">
      <c r="A94" s="399">
        <v>18628</v>
      </c>
      <c r="B94" s="482">
        <v>3113</v>
      </c>
      <c r="C94" s="230" t="s">
        <v>42</v>
      </c>
      <c r="D94" s="176">
        <v>210</v>
      </c>
      <c r="E94" s="392" t="s">
        <v>152</v>
      </c>
      <c r="F94" s="174">
        <f t="shared" si="9"/>
        <v>6500</v>
      </c>
      <c r="G94" s="110">
        <v>6500</v>
      </c>
      <c r="H94" s="44"/>
      <c r="I94" s="131"/>
      <c r="J94" s="108">
        <f t="shared" si="10"/>
        <v>6500</v>
      </c>
      <c r="K94" s="243">
        <v>6500</v>
      </c>
      <c r="L94" s="259"/>
      <c r="M94" s="267"/>
      <c r="N94" s="197">
        <f t="shared" si="11"/>
        <v>4029.16</v>
      </c>
      <c r="O94" s="251">
        <v>4029.16</v>
      </c>
      <c r="P94" s="368"/>
      <c r="Q94" s="312"/>
      <c r="R94" s="322"/>
    </row>
    <row r="95" spans="1:18" ht="13.5" thickBot="1">
      <c r="A95" s="542">
        <v>19642</v>
      </c>
      <c r="B95" s="483">
        <v>3113</v>
      </c>
      <c r="C95" s="413" t="s">
        <v>42</v>
      </c>
      <c r="D95" s="414">
        <v>210</v>
      </c>
      <c r="E95" s="393" t="s">
        <v>224</v>
      </c>
      <c r="F95" s="218">
        <f>SUM(G95:I95)</f>
        <v>0</v>
      </c>
      <c r="G95" s="236">
        <v>0</v>
      </c>
      <c r="H95" s="184"/>
      <c r="I95" s="186"/>
      <c r="J95" s="415">
        <f>SUM(K95:M95)</f>
        <v>850</v>
      </c>
      <c r="K95" s="247"/>
      <c r="L95" s="270">
        <v>850</v>
      </c>
      <c r="M95" s="416"/>
      <c r="N95" s="417">
        <f>SUM(O95:Q95)</f>
        <v>741.7</v>
      </c>
      <c r="O95" s="252"/>
      <c r="P95" s="418">
        <v>741.7</v>
      </c>
      <c r="Q95" s="419"/>
      <c r="R95" s="322"/>
    </row>
    <row r="96" spans="1:18" ht="12.75">
      <c r="A96" s="652">
        <v>19643</v>
      </c>
      <c r="B96" s="653">
        <v>3113</v>
      </c>
      <c r="C96" s="654" t="s">
        <v>42</v>
      </c>
      <c r="D96" s="655">
        <v>10</v>
      </c>
      <c r="E96" s="624" t="s">
        <v>153</v>
      </c>
      <c r="F96" s="625">
        <f t="shared" si="9"/>
        <v>3500</v>
      </c>
      <c r="G96" s="626">
        <v>3500</v>
      </c>
      <c r="H96" s="627"/>
      <c r="I96" s="628"/>
      <c r="J96" s="656">
        <f t="shared" si="10"/>
        <v>2200</v>
      </c>
      <c r="K96" s="626">
        <f>3500-1300</f>
        <v>2200</v>
      </c>
      <c r="L96" s="657"/>
      <c r="M96" s="658"/>
      <c r="N96" s="659">
        <f t="shared" si="11"/>
        <v>422.57</v>
      </c>
      <c r="O96" s="926">
        <v>422.57</v>
      </c>
      <c r="P96" s="660"/>
      <c r="Q96" s="661"/>
      <c r="R96" s="322"/>
    </row>
    <row r="97" spans="1:18" ht="13.5" thickBot="1">
      <c r="A97" s="662">
        <v>19643</v>
      </c>
      <c r="B97" s="663">
        <v>3113</v>
      </c>
      <c r="C97" s="664" t="s">
        <v>42</v>
      </c>
      <c r="D97" s="665">
        <v>210</v>
      </c>
      <c r="E97" s="633" t="s">
        <v>153</v>
      </c>
      <c r="F97" s="634">
        <v>0</v>
      </c>
      <c r="G97" s="635"/>
      <c r="H97" s="636"/>
      <c r="I97" s="637"/>
      <c r="J97" s="666">
        <f>SUM(K97:M97)</f>
        <v>500</v>
      </c>
      <c r="K97" s="635">
        <v>500</v>
      </c>
      <c r="L97" s="667"/>
      <c r="M97" s="668"/>
      <c r="N97" s="669">
        <f>SUM(O97:Q97)</f>
        <v>0</v>
      </c>
      <c r="O97" s="670">
        <v>0</v>
      </c>
      <c r="P97" s="671"/>
      <c r="Q97" s="672"/>
      <c r="R97" s="322"/>
    </row>
    <row r="98" spans="1:18" ht="13.5" thickBot="1">
      <c r="A98" s="543">
        <v>19651</v>
      </c>
      <c r="B98" s="504">
        <v>3113</v>
      </c>
      <c r="C98" s="856" t="s">
        <v>42</v>
      </c>
      <c r="D98" s="490">
        <v>10</v>
      </c>
      <c r="E98" s="393" t="s">
        <v>154</v>
      </c>
      <c r="F98" s="344">
        <f t="shared" si="9"/>
        <v>550</v>
      </c>
      <c r="G98" s="429">
        <v>550</v>
      </c>
      <c r="H98" s="301"/>
      <c r="I98" s="188"/>
      <c r="J98" s="500">
        <f t="shared" si="10"/>
        <v>0</v>
      </c>
      <c r="K98" s="429">
        <f>550-550</f>
        <v>0</v>
      </c>
      <c r="L98" s="258"/>
      <c r="M98" s="501"/>
      <c r="N98" s="502">
        <f t="shared" si="11"/>
        <v>0</v>
      </c>
      <c r="O98" s="927">
        <v>0</v>
      </c>
      <c r="P98" s="503"/>
      <c r="Q98" s="451"/>
      <c r="R98" s="322"/>
    </row>
    <row r="99" spans="1:18" ht="12.75">
      <c r="A99" s="652">
        <v>19652</v>
      </c>
      <c r="B99" s="653">
        <v>3113</v>
      </c>
      <c r="C99" s="654" t="s">
        <v>42</v>
      </c>
      <c r="D99" s="655">
        <v>10</v>
      </c>
      <c r="E99" s="857" t="s">
        <v>155</v>
      </c>
      <c r="F99" s="625">
        <f>SUM(G99:I99)</f>
        <v>1000</v>
      </c>
      <c r="G99" s="626">
        <v>1000</v>
      </c>
      <c r="H99" s="627"/>
      <c r="I99" s="628"/>
      <c r="J99" s="656">
        <f>SUM(K99:M99)</f>
        <v>1270</v>
      </c>
      <c r="K99" s="626">
        <f>1000+270</f>
        <v>1270</v>
      </c>
      <c r="L99" s="657"/>
      <c r="M99" s="658"/>
      <c r="N99" s="659">
        <f>SUM(O99:Q99)</f>
        <v>1017.98</v>
      </c>
      <c r="O99" s="926">
        <v>1017.98</v>
      </c>
      <c r="P99" s="660"/>
      <c r="Q99" s="661"/>
      <c r="R99" s="322"/>
    </row>
    <row r="100" spans="1:18" ht="13.5" thickBot="1">
      <c r="A100" s="662">
        <v>19652</v>
      </c>
      <c r="B100" s="663">
        <v>3113</v>
      </c>
      <c r="C100" s="664" t="s">
        <v>42</v>
      </c>
      <c r="D100" s="665">
        <v>210</v>
      </c>
      <c r="E100" s="858" t="s">
        <v>155</v>
      </c>
      <c r="F100" s="634">
        <f t="shared" si="9"/>
        <v>0</v>
      </c>
      <c r="G100" s="635">
        <v>0</v>
      </c>
      <c r="H100" s="636"/>
      <c r="I100" s="637"/>
      <c r="J100" s="666">
        <f t="shared" si="10"/>
        <v>550</v>
      </c>
      <c r="K100" s="635">
        <v>550</v>
      </c>
      <c r="L100" s="667"/>
      <c r="M100" s="668"/>
      <c r="N100" s="669">
        <f t="shared" si="11"/>
        <v>550</v>
      </c>
      <c r="O100" s="670">
        <v>550</v>
      </c>
      <c r="P100" s="671"/>
      <c r="Q100" s="672"/>
      <c r="R100" s="322"/>
    </row>
    <row r="101" spans="1:18" ht="12.75">
      <c r="A101" s="850" t="s">
        <v>172</v>
      </c>
      <c r="B101" s="780">
        <v>3113</v>
      </c>
      <c r="C101" s="796" t="s">
        <v>42</v>
      </c>
      <c r="D101" s="782">
        <v>10</v>
      </c>
      <c r="E101" s="794" t="s">
        <v>156</v>
      </c>
      <c r="F101" s="642">
        <f aca="true" t="shared" si="12" ref="F101:F116">SUM(G101:I101)</f>
        <v>300</v>
      </c>
      <c r="G101" s="639">
        <v>300</v>
      </c>
      <c r="H101" s="702"/>
      <c r="I101" s="703"/>
      <c r="J101" s="704">
        <f t="shared" si="10"/>
        <v>300</v>
      </c>
      <c r="K101" s="639">
        <f>300</f>
        <v>300</v>
      </c>
      <c r="L101" s="705"/>
      <c r="M101" s="706"/>
      <c r="N101" s="707">
        <f t="shared" si="11"/>
        <v>94</v>
      </c>
      <c r="O101" s="701">
        <v>94</v>
      </c>
      <c r="P101" s="708"/>
      <c r="Q101" s="709"/>
      <c r="R101" s="322"/>
    </row>
    <row r="102" spans="1:18" ht="13.5" thickBot="1">
      <c r="A102" s="851" t="s">
        <v>172</v>
      </c>
      <c r="B102" s="852">
        <v>3113</v>
      </c>
      <c r="C102" s="853" t="s">
        <v>42</v>
      </c>
      <c r="D102" s="854">
        <v>210</v>
      </c>
      <c r="E102" s="855" t="s">
        <v>156</v>
      </c>
      <c r="F102" s="634">
        <f>SUM(G102:I102)</f>
        <v>0</v>
      </c>
      <c r="G102" s="635">
        <v>0</v>
      </c>
      <c r="H102" s="636"/>
      <c r="I102" s="637"/>
      <c r="J102" s="666">
        <f>SUM(K102:M102)</f>
        <v>3000</v>
      </c>
      <c r="K102" s="635">
        <v>3000</v>
      </c>
      <c r="L102" s="667"/>
      <c r="M102" s="668"/>
      <c r="N102" s="669">
        <f>SUM(O102:Q102)</f>
        <v>568.52</v>
      </c>
      <c r="O102" s="670">
        <v>568.52</v>
      </c>
      <c r="P102" s="671"/>
      <c r="Q102" s="672"/>
      <c r="R102" s="322"/>
    </row>
    <row r="103" spans="1:18" ht="12.75">
      <c r="A103" s="212" t="s">
        <v>83</v>
      </c>
      <c r="B103" s="486">
        <v>3113</v>
      </c>
      <c r="C103" s="161" t="s">
        <v>42</v>
      </c>
      <c r="D103" s="585">
        <v>210</v>
      </c>
      <c r="E103" s="392" t="s">
        <v>157</v>
      </c>
      <c r="F103" s="171">
        <f t="shared" si="12"/>
        <v>6000</v>
      </c>
      <c r="G103" s="253">
        <v>6000</v>
      </c>
      <c r="H103" s="257"/>
      <c r="I103" s="297"/>
      <c r="J103" s="421">
        <f t="shared" si="10"/>
        <v>200</v>
      </c>
      <c r="K103" s="253">
        <f>6000-5800</f>
        <v>200</v>
      </c>
      <c r="L103" s="257"/>
      <c r="M103" s="422"/>
      <c r="N103" s="423">
        <f t="shared" si="11"/>
        <v>36.3</v>
      </c>
      <c r="O103" s="253">
        <v>36.3</v>
      </c>
      <c r="P103" s="424"/>
      <c r="Q103" s="425"/>
      <c r="R103" s="322"/>
    </row>
    <row r="104" spans="1:18" ht="12.75">
      <c r="A104" s="609" t="s">
        <v>173</v>
      </c>
      <c r="B104" s="486">
        <v>3113</v>
      </c>
      <c r="C104" s="161" t="s">
        <v>42</v>
      </c>
      <c r="D104" s="585">
        <v>10</v>
      </c>
      <c r="E104" s="392" t="s">
        <v>158</v>
      </c>
      <c r="F104" s="171">
        <f t="shared" si="12"/>
        <v>1500</v>
      </c>
      <c r="G104" s="253">
        <v>1500</v>
      </c>
      <c r="H104" s="246"/>
      <c r="I104" s="141"/>
      <c r="J104" s="421">
        <f aca="true" t="shared" si="13" ref="J104:J114">SUM(K104:M104)</f>
        <v>0</v>
      </c>
      <c r="K104" s="253">
        <f>1500-1500</f>
        <v>0</v>
      </c>
      <c r="L104" s="257"/>
      <c r="M104" s="422"/>
      <c r="N104" s="423">
        <f aca="true" t="shared" si="14" ref="N104:N114">SUM(O104:Q104)</f>
        <v>0</v>
      </c>
      <c r="O104" s="253">
        <v>0</v>
      </c>
      <c r="P104" s="424"/>
      <c r="Q104" s="297"/>
      <c r="R104" s="322"/>
    </row>
    <row r="105" spans="1:18" ht="24">
      <c r="A105" s="610" t="s">
        <v>174</v>
      </c>
      <c r="B105" s="587">
        <v>3113</v>
      </c>
      <c r="C105" s="406" t="s">
        <v>42</v>
      </c>
      <c r="D105" s="588">
        <v>10</v>
      </c>
      <c r="E105" s="586" t="s">
        <v>175</v>
      </c>
      <c r="F105" s="174">
        <f>SUM(G105:I105)</f>
        <v>800</v>
      </c>
      <c r="G105" s="450">
        <v>800</v>
      </c>
      <c r="H105" s="261"/>
      <c r="I105" s="226"/>
      <c r="J105" s="373">
        <f>SUM(K105:M105)</f>
        <v>0</v>
      </c>
      <c r="K105" s="450">
        <f>800-800</f>
        <v>0</v>
      </c>
      <c r="L105" s="260"/>
      <c r="M105" s="398"/>
      <c r="N105" s="174">
        <f>SUM(O105:Q105)</f>
        <v>0</v>
      </c>
      <c r="O105" s="450">
        <v>0</v>
      </c>
      <c r="P105" s="582"/>
      <c r="Q105" s="304"/>
      <c r="R105" s="322"/>
    </row>
    <row r="106" spans="1:18" ht="12.75">
      <c r="A106" s="541">
        <v>20623</v>
      </c>
      <c r="B106" s="481">
        <v>3113</v>
      </c>
      <c r="C106" s="420" t="s">
        <v>42</v>
      </c>
      <c r="D106" s="179">
        <v>10</v>
      </c>
      <c r="E106" s="392" t="s">
        <v>159</v>
      </c>
      <c r="F106" s="171">
        <f t="shared" si="12"/>
        <v>100</v>
      </c>
      <c r="G106" s="111">
        <v>100</v>
      </c>
      <c r="H106" s="57"/>
      <c r="I106" s="141"/>
      <c r="J106" s="421">
        <f t="shared" si="13"/>
        <v>0</v>
      </c>
      <c r="K106" s="245">
        <f>100-100</f>
        <v>0</v>
      </c>
      <c r="L106" s="257"/>
      <c r="M106" s="422"/>
      <c r="N106" s="423">
        <f t="shared" si="14"/>
        <v>0</v>
      </c>
      <c r="O106" s="927">
        <v>0</v>
      </c>
      <c r="P106" s="503"/>
      <c r="Q106" s="451"/>
      <c r="R106" s="322"/>
    </row>
    <row r="107" spans="1:18" ht="13.5" thickBot="1">
      <c r="A107" s="793" t="s">
        <v>176</v>
      </c>
      <c r="B107" s="483">
        <v>3113</v>
      </c>
      <c r="C107" s="182" t="s">
        <v>42</v>
      </c>
      <c r="D107" s="414">
        <v>10</v>
      </c>
      <c r="E107" s="393" t="s">
        <v>160</v>
      </c>
      <c r="F107" s="218">
        <f t="shared" si="12"/>
        <v>300</v>
      </c>
      <c r="G107" s="236">
        <v>300</v>
      </c>
      <c r="H107" s="184"/>
      <c r="I107" s="186"/>
      <c r="J107" s="415">
        <f t="shared" si="13"/>
        <v>300</v>
      </c>
      <c r="K107" s="247">
        <v>300</v>
      </c>
      <c r="L107" s="270"/>
      <c r="M107" s="416"/>
      <c r="N107" s="417">
        <f t="shared" si="14"/>
        <v>0</v>
      </c>
      <c r="O107" s="252">
        <v>0</v>
      </c>
      <c r="P107" s="418"/>
      <c r="Q107" s="419"/>
      <c r="R107" s="322"/>
    </row>
    <row r="108" spans="1:18" ht="12.75">
      <c r="A108" s="728" t="s">
        <v>177</v>
      </c>
      <c r="B108" s="697">
        <v>3113</v>
      </c>
      <c r="C108" s="796" t="s">
        <v>42</v>
      </c>
      <c r="D108" s="699">
        <v>10</v>
      </c>
      <c r="E108" s="794" t="s">
        <v>161</v>
      </c>
      <c r="F108" s="642">
        <f>SUM(G108:I108)</f>
        <v>300</v>
      </c>
      <c r="G108" s="701">
        <v>300</v>
      </c>
      <c r="H108" s="705"/>
      <c r="I108" s="737"/>
      <c r="J108" s="797">
        <f>SUM(K108:M108)</f>
        <v>300</v>
      </c>
      <c r="K108" s="701">
        <v>300</v>
      </c>
      <c r="L108" s="705"/>
      <c r="M108" s="706"/>
      <c r="N108" s="707">
        <f>SUM(O108:Q108)</f>
        <v>127.49</v>
      </c>
      <c r="O108" s="701">
        <v>127.49</v>
      </c>
      <c r="P108" s="708"/>
      <c r="Q108" s="709"/>
      <c r="R108" s="322"/>
    </row>
    <row r="109" spans="1:18" ht="13.5" thickBot="1">
      <c r="A109" s="795" t="s">
        <v>177</v>
      </c>
      <c r="B109" s="711">
        <v>3113</v>
      </c>
      <c r="C109" s="712" t="s">
        <v>42</v>
      </c>
      <c r="D109" s="713">
        <v>210</v>
      </c>
      <c r="E109" s="633" t="s">
        <v>161</v>
      </c>
      <c r="F109" s="634">
        <v>0</v>
      </c>
      <c r="G109" s="670"/>
      <c r="H109" s="667"/>
      <c r="I109" s="746"/>
      <c r="J109" s="798">
        <f>SUM(K109:M109)</f>
        <v>600</v>
      </c>
      <c r="K109" s="715">
        <v>600</v>
      </c>
      <c r="L109" s="716"/>
      <c r="M109" s="799"/>
      <c r="N109" s="800">
        <f>SUM(O109:Q109)</f>
        <v>0</v>
      </c>
      <c r="O109" s="715">
        <v>0</v>
      </c>
      <c r="P109" s="801"/>
      <c r="Q109" s="802"/>
      <c r="R109" s="322"/>
    </row>
    <row r="110" spans="1:18" ht="12.75">
      <c r="A110" s="212" t="s">
        <v>171</v>
      </c>
      <c r="B110" s="486">
        <v>3113</v>
      </c>
      <c r="C110" s="161" t="s">
        <v>42</v>
      </c>
      <c r="D110" s="585">
        <v>210</v>
      </c>
      <c r="E110" s="392" t="s">
        <v>162</v>
      </c>
      <c r="F110" s="171">
        <f>SUM(G110:I110)</f>
        <v>1900</v>
      </c>
      <c r="G110" s="253">
        <v>1900</v>
      </c>
      <c r="H110" s="257"/>
      <c r="I110" s="297"/>
      <c r="J110" s="421">
        <f>SUM(K110:M110)</f>
        <v>100</v>
      </c>
      <c r="K110" s="253">
        <f>1900-1800</f>
        <v>100</v>
      </c>
      <c r="L110" s="257"/>
      <c r="M110" s="422"/>
      <c r="N110" s="423">
        <f>SUM(O110:Q110)</f>
        <v>74.46</v>
      </c>
      <c r="O110" s="253">
        <v>74.46</v>
      </c>
      <c r="P110" s="424"/>
      <c r="Q110" s="425"/>
      <c r="R110" s="322"/>
    </row>
    <row r="111" spans="1:18" s="214" customFormat="1" ht="13.5" thickBot="1">
      <c r="A111" s="223" t="s">
        <v>178</v>
      </c>
      <c r="B111" s="485">
        <v>3113</v>
      </c>
      <c r="C111" s="693" t="s">
        <v>42</v>
      </c>
      <c r="D111" s="694">
        <v>210</v>
      </c>
      <c r="E111" s="695" t="s">
        <v>163</v>
      </c>
      <c r="F111" s="218">
        <f t="shared" si="12"/>
        <v>1000</v>
      </c>
      <c r="G111" s="252">
        <v>1000</v>
      </c>
      <c r="H111" s="270"/>
      <c r="I111" s="439"/>
      <c r="J111" s="415">
        <f t="shared" si="13"/>
        <v>0</v>
      </c>
      <c r="K111" s="252">
        <f>1000-1000</f>
        <v>0</v>
      </c>
      <c r="L111" s="270"/>
      <c r="M111" s="416"/>
      <c r="N111" s="417">
        <f t="shared" si="14"/>
        <v>0</v>
      </c>
      <c r="O111" s="252">
        <v>0</v>
      </c>
      <c r="P111" s="418"/>
      <c r="Q111" s="419"/>
      <c r="R111" s="322"/>
    </row>
    <row r="112" spans="1:18" ht="12.75">
      <c r="A112" s="696" t="s">
        <v>179</v>
      </c>
      <c r="B112" s="697">
        <v>3113</v>
      </c>
      <c r="C112" s="698" t="s">
        <v>42</v>
      </c>
      <c r="D112" s="699">
        <v>10</v>
      </c>
      <c r="E112" s="700" t="s">
        <v>164</v>
      </c>
      <c r="F112" s="642">
        <f t="shared" si="12"/>
        <v>1500</v>
      </c>
      <c r="G112" s="701">
        <v>1500</v>
      </c>
      <c r="H112" s="702"/>
      <c r="I112" s="703"/>
      <c r="J112" s="704">
        <f t="shared" si="13"/>
        <v>700</v>
      </c>
      <c r="K112" s="701">
        <f>1500-800</f>
        <v>700</v>
      </c>
      <c r="L112" s="705"/>
      <c r="M112" s="706"/>
      <c r="N112" s="707">
        <f t="shared" si="14"/>
        <v>352.01</v>
      </c>
      <c r="O112" s="701">
        <v>352.01</v>
      </c>
      <c r="P112" s="708"/>
      <c r="Q112" s="709"/>
      <c r="R112" s="322"/>
    </row>
    <row r="113" spans="1:18" ht="13.5" thickBot="1">
      <c r="A113" s="710" t="s">
        <v>179</v>
      </c>
      <c r="B113" s="711">
        <v>3113</v>
      </c>
      <c r="C113" s="712" t="s">
        <v>42</v>
      </c>
      <c r="D113" s="713">
        <v>210</v>
      </c>
      <c r="E113" s="714" t="s">
        <v>164</v>
      </c>
      <c r="F113" s="649">
        <v>0</v>
      </c>
      <c r="G113" s="715"/>
      <c r="H113" s="716"/>
      <c r="I113" s="717"/>
      <c r="J113" s="666">
        <f>SUM(K113:M113)</f>
        <v>600</v>
      </c>
      <c r="K113" s="670">
        <f>800-200</f>
        <v>600</v>
      </c>
      <c r="L113" s="667"/>
      <c r="M113" s="668"/>
      <c r="N113" s="669">
        <f>SUM(O113:Q113)</f>
        <v>0</v>
      </c>
      <c r="O113" s="670">
        <v>0</v>
      </c>
      <c r="P113" s="671"/>
      <c r="Q113" s="672"/>
      <c r="R113" s="322"/>
    </row>
    <row r="114" spans="1:18" ht="12.75">
      <c r="A114" s="680" t="s">
        <v>227</v>
      </c>
      <c r="B114" s="481">
        <v>3141</v>
      </c>
      <c r="C114" s="228" t="s">
        <v>42</v>
      </c>
      <c r="D114" s="438">
        <v>10</v>
      </c>
      <c r="E114" s="581" t="s">
        <v>165</v>
      </c>
      <c r="F114" s="171">
        <f t="shared" si="12"/>
        <v>200</v>
      </c>
      <c r="G114" s="253">
        <v>200</v>
      </c>
      <c r="H114" s="257"/>
      <c r="I114" s="297"/>
      <c r="J114" s="421">
        <f t="shared" si="13"/>
        <v>0</v>
      </c>
      <c r="K114" s="253">
        <f>200-200</f>
        <v>0</v>
      </c>
      <c r="L114" s="257"/>
      <c r="M114" s="422"/>
      <c r="N114" s="423">
        <f t="shared" si="14"/>
        <v>0</v>
      </c>
      <c r="O114" s="253">
        <v>0</v>
      </c>
      <c r="P114" s="424"/>
      <c r="Q114" s="425"/>
      <c r="R114" s="322"/>
    </row>
    <row r="115" spans="1:18" ht="12.75">
      <c r="A115" s="543">
        <v>20628</v>
      </c>
      <c r="B115" s="504">
        <v>3141</v>
      </c>
      <c r="C115" s="282" t="s">
        <v>42</v>
      </c>
      <c r="D115" s="180">
        <v>210</v>
      </c>
      <c r="E115" s="392" t="s">
        <v>166</v>
      </c>
      <c r="F115" s="344">
        <f t="shared" si="12"/>
        <v>1000</v>
      </c>
      <c r="G115" s="505">
        <v>1000</v>
      </c>
      <c r="H115" s="506"/>
      <c r="I115" s="507"/>
      <c r="J115" s="500">
        <f aca="true" t="shared" si="15" ref="J115:J121">SUM(K115:M115)</f>
        <v>0</v>
      </c>
      <c r="K115" s="508">
        <f>1000-1000</f>
        <v>0</v>
      </c>
      <c r="L115" s="258"/>
      <c r="M115" s="501"/>
      <c r="N115" s="502">
        <f aca="true" t="shared" si="16" ref="N115:N121">SUM(O115:Q115)</f>
        <v>0</v>
      </c>
      <c r="O115" s="927">
        <v>0</v>
      </c>
      <c r="P115" s="503"/>
      <c r="Q115" s="297"/>
      <c r="R115" s="322"/>
    </row>
    <row r="116" spans="1:18" ht="12.75" customHeight="1">
      <c r="A116" s="399">
        <v>20643</v>
      </c>
      <c r="B116" s="482">
        <v>3113</v>
      </c>
      <c r="C116" s="208" t="s">
        <v>42</v>
      </c>
      <c r="D116" s="177">
        <v>210</v>
      </c>
      <c r="E116" s="494" t="s">
        <v>230</v>
      </c>
      <c r="F116" s="174">
        <f t="shared" si="12"/>
        <v>0</v>
      </c>
      <c r="G116" s="463">
        <v>0</v>
      </c>
      <c r="H116" s="299"/>
      <c r="I116" s="300"/>
      <c r="J116" s="108">
        <f t="shared" si="15"/>
        <v>0</v>
      </c>
      <c r="K116" s="466">
        <f>600-600</f>
        <v>0</v>
      </c>
      <c r="L116" s="259"/>
      <c r="M116" s="267"/>
      <c r="N116" s="197">
        <f t="shared" si="16"/>
        <v>0</v>
      </c>
      <c r="O116" s="251">
        <v>0</v>
      </c>
      <c r="P116" s="368"/>
      <c r="Q116" s="388"/>
      <c r="R116" s="322"/>
    </row>
    <row r="117" spans="1:18" ht="12.75">
      <c r="A117" s="544">
        <v>20644</v>
      </c>
      <c r="B117" s="483">
        <v>3113</v>
      </c>
      <c r="C117" s="227" t="s">
        <v>42</v>
      </c>
      <c r="D117" s="178">
        <v>210</v>
      </c>
      <c r="E117" s="494" t="s">
        <v>231</v>
      </c>
      <c r="F117" s="218">
        <v>0</v>
      </c>
      <c r="G117" s="509">
        <v>0</v>
      </c>
      <c r="H117" s="298"/>
      <c r="I117" s="510"/>
      <c r="J117" s="415">
        <f t="shared" si="15"/>
        <v>150</v>
      </c>
      <c r="K117" s="511">
        <v>150</v>
      </c>
      <c r="L117" s="270"/>
      <c r="M117" s="416"/>
      <c r="N117" s="417">
        <f t="shared" si="16"/>
        <v>0</v>
      </c>
      <c r="O117" s="252">
        <v>0</v>
      </c>
      <c r="P117" s="418"/>
      <c r="Q117" s="439"/>
      <c r="R117" s="322"/>
    </row>
    <row r="118" spans="1:18" ht="12.75">
      <c r="A118" s="222" t="s">
        <v>232</v>
      </c>
      <c r="B118" s="482">
        <v>3113</v>
      </c>
      <c r="C118" s="208" t="s">
        <v>42</v>
      </c>
      <c r="D118" s="177">
        <v>210</v>
      </c>
      <c r="E118" s="494" t="s">
        <v>233</v>
      </c>
      <c r="F118" s="174">
        <v>0</v>
      </c>
      <c r="G118" s="463">
        <v>0</v>
      </c>
      <c r="H118" s="299"/>
      <c r="I118" s="300"/>
      <c r="J118" s="371">
        <f t="shared" si="15"/>
        <v>700</v>
      </c>
      <c r="K118" s="244">
        <f>300+600-200</f>
        <v>700</v>
      </c>
      <c r="L118" s="259"/>
      <c r="M118" s="267"/>
      <c r="N118" s="197">
        <f t="shared" si="16"/>
        <v>128.5</v>
      </c>
      <c r="O118" s="251">
        <v>128.5</v>
      </c>
      <c r="P118" s="368"/>
      <c r="Q118" s="312"/>
      <c r="R118" s="322"/>
    </row>
    <row r="119" spans="1:18" ht="12.75">
      <c r="A119" s="222" t="s">
        <v>240</v>
      </c>
      <c r="B119" s="484">
        <v>3113</v>
      </c>
      <c r="C119" s="112" t="s">
        <v>42</v>
      </c>
      <c r="D119" s="177">
        <v>210</v>
      </c>
      <c r="E119" s="494" t="s">
        <v>239</v>
      </c>
      <c r="F119" s="174">
        <f aca="true" t="shared" si="17" ref="F119:F125">SUM(G119:I119)</f>
        <v>0</v>
      </c>
      <c r="G119" s="128">
        <v>0</v>
      </c>
      <c r="H119" s="259"/>
      <c r="I119" s="123"/>
      <c r="J119" s="108">
        <f t="shared" si="15"/>
        <v>2000</v>
      </c>
      <c r="K119" s="244">
        <v>2000</v>
      </c>
      <c r="L119" s="259"/>
      <c r="M119" s="267"/>
      <c r="N119" s="197">
        <f t="shared" si="16"/>
        <v>1475.73</v>
      </c>
      <c r="O119" s="251">
        <v>1475.73</v>
      </c>
      <c r="P119" s="368"/>
      <c r="Q119" s="312"/>
      <c r="R119" s="322"/>
    </row>
    <row r="120" spans="1:18" ht="12.75">
      <c r="A120" s="785" t="s">
        <v>268</v>
      </c>
      <c r="B120" s="487">
        <v>3113</v>
      </c>
      <c r="C120" s="208" t="s">
        <v>42</v>
      </c>
      <c r="D120" s="177">
        <v>108100105</v>
      </c>
      <c r="E120" s="494" t="s">
        <v>269</v>
      </c>
      <c r="F120" s="174">
        <f t="shared" si="17"/>
        <v>0</v>
      </c>
      <c r="G120" s="251">
        <v>0</v>
      </c>
      <c r="H120" s="259"/>
      <c r="I120" s="309"/>
      <c r="J120" s="108">
        <f t="shared" si="15"/>
        <v>28</v>
      </c>
      <c r="K120" s="244"/>
      <c r="L120" s="259"/>
      <c r="M120" s="267">
        <v>28</v>
      </c>
      <c r="N120" s="197">
        <f t="shared" si="16"/>
        <v>0</v>
      </c>
      <c r="O120" s="251"/>
      <c r="P120" s="368"/>
      <c r="Q120" s="309">
        <v>0</v>
      </c>
      <c r="R120" s="322"/>
    </row>
    <row r="121" spans="1:18" ht="12.75">
      <c r="A121" s="785" t="s">
        <v>268</v>
      </c>
      <c r="B121" s="487">
        <v>3113</v>
      </c>
      <c r="C121" s="208" t="s">
        <v>42</v>
      </c>
      <c r="D121" s="177">
        <v>108517985</v>
      </c>
      <c r="E121" s="494" t="s">
        <v>269</v>
      </c>
      <c r="F121" s="174">
        <f t="shared" si="17"/>
        <v>0</v>
      </c>
      <c r="G121" s="251">
        <v>0</v>
      </c>
      <c r="H121" s="259"/>
      <c r="I121" s="309"/>
      <c r="J121" s="108">
        <f t="shared" si="15"/>
        <v>35</v>
      </c>
      <c r="K121" s="244"/>
      <c r="L121" s="259"/>
      <c r="M121" s="267">
        <v>35</v>
      </c>
      <c r="N121" s="197">
        <f t="shared" si="16"/>
        <v>0</v>
      </c>
      <c r="O121" s="251"/>
      <c r="P121" s="368"/>
      <c r="Q121" s="312">
        <v>0</v>
      </c>
      <c r="R121" s="322"/>
    </row>
    <row r="122" spans="1:18" ht="12.75" customHeight="1">
      <c r="A122" s="223" t="s">
        <v>275</v>
      </c>
      <c r="B122" s="485">
        <v>3113</v>
      </c>
      <c r="C122" s="227" t="s">
        <v>42</v>
      </c>
      <c r="D122" s="178">
        <v>210</v>
      </c>
      <c r="E122" s="859" t="s">
        <v>274</v>
      </c>
      <c r="F122" s="218">
        <f t="shared" si="17"/>
        <v>0</v>
      </c>
      <c r="G122" s="252">
        <v>0</v>
      </c>
      <c r="H122" s="270"/>
      <c r="I122" s="439"/>
      <c r="J122" s="440">
        <f>SUM(K122:M122)</f>
        <v>2300</v>
      </c>
      <c r="K122" s="248">
        <f>300+2000</f>
        <v>2300</v>
      </c>
      <c r="L122" s="270"/>
      <c r="M122" s="416"/>
      <c r="N122" s="417">
        <f>SUM(O122:Q122)</f>
        <v>505.52</v>
      </c>
      <c r="O122" s="252">
        <v>505.52</v>
      </c>
      <c r="P122" s="418"/>
      <c r="Q122" s="419"/>
      <c r="R122" s="322"/>
    </row>
    <row r="123" spans="1:18" ht="12.75" customHeight="1" thickBot="1">
      <c r="A123" s="223" t="s">
        <v>294</v>
      </c>
      <c r="B123" s="485">
        <v>3113</v>
      </c>
      <c r="C123" s="227" t="s">
        <v>42</v>
      </c>
      <c r="D123" s="178"/>
      <c r="E123" s="859" t="s">
        <v>310</v>
      </c>
      <c r="F123" s="218">
        <f t="shared" si="17"/>
        <v>0</v>
      </c>
      <c r="G123" s="252">
        <v>0</v>
      </c>
      <c r="H123" s="270"/>
      <c r="I123" s="439"/>
      <c r="J123" s="440">
        <f>SUM(K123:M123)</f>
        <v>320.7</v>
      </c>
      <c r="K123" s="248"/>
      <c r="L123" s="270"/>
      <c r="M123" s="416">
        <v>320.7</v>
      </c>
      <c r="N123" s="417">
        <f>SUM(O123:Q123)</f>
        <v>320.7</v>
      </c>
      <c r="O123" s="252"/>
      <c r="P123" s="418"/>
      <c r="Q123" s="419">
        <v>320.7</v>
      </c>
      <c r="R123" s="322"/>
    </row>
    <row r="124" spans="1:18" ht="12.75">
      <c r="A124" s="728" t="s">
        <v>288</v>
      </c>
      <c r="B124" s="697">
        <v>3419</v>
      </c>
      <c r="C124" s="729" t="s">
        <v>78</v>
      </c>
      <c r="D124" s="836">
        <v>98</v>
      </c>
      <c r="E124" s="860" t="s">
        <v>289</v>
      </c>
      <c r="F124" s="642">
        <f t="shared" si="17"/>
        <v>0</v>
      </c>
      <c r="G124" s="701">
        <v>0</v>
      </c>
      <c r="H124" s="705"/>
      <c r="I124" s="737"/>
      <c r="J124" s="797">
        <f>SUM(K124:M124)</f>
        <v>444.4</v>
      </c>
      <c r="K124" s="702"/>
      <c r="L124" s="705"/>
      <c r="M124" s="706">
        <v>444.4</v>
      </c>
      <c r="N124" s="707">
        <f>SUM(O124:Q124)</f>
        <v>444.4</v>
      </c>
      <c r="O124" s="701"/>
      <c r="P124" s="708"/>
      <c r="Q124" s="709">
        <v>444.4</v>
      </c>
      <c r="R124" s="322"/>
    </row>
    <row r="125" spans="1:18" ht="12.75" customHeight="1" thickBot="1">
      <c r="A125" s="738" t="s">
        <v>288</v>
      </c>
      <c r="B125" s="739">
        <v>3419</v>
      </c>
      <c r="C125" s="861" t="s">
        <v>78</v>
      </c>
      <c r="D125" s="771"/>
      <c r="E125" s="783" t="s">
        <v>289</v>
      </c>
      <c r="F125" s="634">
        <f t="shared" si="17"/>
        <v>0</v>
      </c>
      <c r="G125" s="635">
        <v>0</v>
      </c>
      <c r="H125" s="636"/>
      <c r="I125" s="637"/>
      <c r="J125" s="666">
        <f>SUM(K125:M125)</f>
        <v>455.6</v>
      </c>
      <c r="K125" s="636"/>
      <c r="L125" s="667"/>
      <c r="M125" s="668">
        <v>455.6</v>
      </c>
      <c r="N125" s="669">
        <f>SUM(O125:Q125)</f>
        <v>455.6</v>
      </c>
      <c r="O125" s="635"/>
      <c r="P125" s="862"/>
      <c r="Q125" s="672">
        <v>455.6</v>
      </c>
      <c r="R125" s="322"/>
    </row>
    <row r="126" spans="1:19" ht="13.5" thickBot="1">
      <c r="A126" s="240" t="s">
        <v>24</v>
      </c>
      <c r="B126" s="241"/>
      <c r="C126" s="101"/>
      <c r="D126" s="58"/>
      <c r="E126" s="109"/>
      <c r="F126" s="135"/>
      <c r="G126" s="61"/>
      <c r="H126" s="61"/>
      <c r="I126" s="61"/>
      <c r="J126" s="61"/>
      <c r="K126" s="60"/>
      <c r="L126" s="136"/>
      <c r="M126" s="137"/>
      <c r="N126" s="61"/>
      <c r="O126" s="61"/>
      <c r="P126" s="61"/>
      <c r="Q126" s="61"/>
      <c r="R126" s="323"/>
      <c r="S126" s="214"/>
    </row>
    <row r="127" spans="1:18" ht="14.25" thickBot="1" thickTop="1">
      <c r="A127" s="718"/>
      <c r="B127" s="719"/>
      <c r="C127" s="720"/>
      <c r="D127" s="721"/>
      <c r="E127" s="722" t="s">
        <v>17</v>
      </c>
      <c r="F127" s="756">
        <f aca="true" t="shared" si="18" ref="F127:F136">SUM(G127:I127)</f>
        <v>10600</v>
      </c>
      <c r="G127" s="725">
        <f>SUM(G128:G143)</f>
        <v>9800</v>
      </c>
      <c r="H127" s="725">
        <f>SUM(H128:H143)</f>
        <v>0</v>
      </c>
      <c r="I127" s="725">
        <f>SUM(I128:I143)</f>
        <v>800</v>
      </c>
      <c r="J127" s="757">
        <f aca="true" t="shared" si="19" ref="J127:J143">SUM(K127:M127)</f>
        <v>49294.600000000006</v>
      </c>
      <c r="K127" s="725">
        <f>SUM(K128:K143)</f>
        <v>47855.600000000006</v>
      </c>
      <c r="L127" s="725">
        <f>SUM(L128:L143)</f>
        <v>0</v>
      </c>
      <c r="M127" s="725">
        <f>SUM(M128:M143)</f>
        <v>1439</v>
      </c>
      <c r="N127" s="198">
        <f aca="true" t="shared" si="20" ref="N127:N143">SUM(O127:Q127)</f>
        <v>8162.5199999999995</v>
      </c>
      <c r="O127" s="726">
        <f>SUM(O128:O143)</f>
        <v>6723.73</v>
      </c>
      <c r="P127" s="725">
        <f>SUM(P128:P143)</f>
        <v>0</v>
      </c>
      <c r="Q127" s="727">
        <f>SUM(Q128:Q143)</f>
        <v>1438.79</v>
      </c>
      <c r="R127" s="324">
        <f>SUM(N127/J127)</f>
        <v>0.16558649426103464</v>
      </c>
    </row>
    <row r="128" spans="1:18" ht="13.5" thickTop="1">
      <c r="A128" s="758" t="s">
        <v>60</v>
      </c>
      <c r="B128" s="759">
        <v>3523</v>
      </c>
      <c r="C128" s="760" t="s">
        <v>43</v>
      </c>
      <c r="D128" s="761">
        <v>210</v>
      </c>
      <c r="E128" s="762" t="s">
        <v>180</v>
      </c>
      <c r="F128" s="763">
        <f t="shared" si="18"/>
        <v>2000</v>
      </c>
      <c r="G128" s="764">
        <v>2000</v>
      </c>
      <c r="H128" s="764"/>
      <c r="I128" s="765"/>
      <c r="J128" s="763">
        <f t="shared" si="19"/>
        <v>0</v>
      </c>
      <c r="K128" s="766">
        <f>2000-2000</f>
        <v>0</v>
      </c>
      <c r="L128" s="766"/>
      <c r="M128" s="767"/>
      <c r="N128" s="625">
        <f t="shared" si="20"/>
        <v>0</v>
      </c>
      <c r="O128" s="931">
        <v>0</v>
      </c>
      <c r="P128" s="766"/>
      <c r="Q128" s="768"/>
      <c r="R128" s="322"/>
    </row>
    <row r="129" spans="1:18" ht="13.5" thickBot="1">
      <c r="A129" s="738" t="s">
        <v>262</v>
      </c>
      <c r="B129" s="769">
        <v>3523</v>
      </c>
      <c r="C129" s="770" t="s">
        <v>43</v>
      </c>
      <c r="D129" s="771">
        <v>90</v>
      </c>
      <c r="E129" s="772" t="s">
        <v>263</v>
      </c>
      <c r="F129" s="773">
        <f>SUM(G129:I129)</f>
        <v>0</v>
      </c>
      <c r="G129" s="774">
        <v>0</v>
      </c>
      <c r="H129" s="774"/>
      <c r="I129" s="775"/>
      <c r="J129" s="773">
        <f>SUM(K129:M129)</f>
        <v>2000</v>
      </c>
      <c r="K129" s="776">
        <f>43735.3-41735.3</f>
        <v>2000</v>
      </c>
      <c r="L129" s="776"/>
      <c r="M129" s="777"/>
      <c r="N129" s="634">
        <f>SUM(O129:Q129)</f>
        <v>31.46</v>
      </c>
      <c r="O129" s="932">
        <v>31.46</v>
      </c>
      <c r="P129" s="776"/>
      <c r="Q129" s="775"/>
      <c r="R129" s="322"/>
    </row>
    <row r="130" spans="1:18" ht="12.75">
      <c r="A130" s="848" t="s">
        <v>73</v>
      </c>
      <c r="B130" s="834">
        <v>3523</v>
      </c>
      <c r="C130" s="835" t="s">
        <v>43</v>
      </c>
      <c r="D130" s="836">
        <v>210</v>
      </c>
      <c r="E130" s="762" t="s">
        <v>181</v>
      </c>
      <c r="F130" s="837">
        <f>SUM(G130:I130)</f>
        <v>2000</v>
      </c>
      <c r="G130" s="838">
        <v>2000</v>
      </c>
      <c r="H130" s="838"/>
      <c r="I130" s="840"/>
      <c r="J130" s="837">
        <f>SUM(K130:M130)</f>
        <v>0</v>
      </c>
      <c r="K130" s="838">
        <f>2000-2000</f>
        <v>0</v>
      </c>
      <c r="L130" s="838"/>
      <c r="M130" s="839"/>
      <c r="N130" s="642">
        <f>SUM(O130:Q130)</f>
        <v>0</v>
      </c>
      <c r="O130" s="933">
        <v>0</v>
      </c>
      <c r="P130" s="838"/>
      <c r="Q130" s="840"/>
      <c r="R130" s="322"/>
    </row>
    <row r="131" spans="1:18" ht="13.5" thickBot="1">
      <c r="A131" s="212" t="s">
        <v>286</v>
      </c>
      <c r="B131" s="441">
        <v>3523</v>
      </c>
      <c r="C131" s="442" t="s">
        <v>43</v>
      </c>
      <c r="D131" s="180">
        <v>90</v>
      </c>
      <c r="E131" s="833" t="s">
        <v>287</v>
      </c>
      <c r="F131" s="551">
        <f>SUM(G131:I131)</f>
        <v>0</v>
      </c>
      <c r="G131" s="443">
        <v>0</v>
      </c>
      <c r="H131" s="443"/>
      <c r="I131" s="444"/>
      <c r="J131" s="113">
        <f>SUM(K131:M131)</f>
        <v>26735.3</v>
      </c>
      <c r="K131" s="552">
        <v>26735.3</v>
      </c>
      <c r="L131" s="552"/>
      <c r="M131" s="553"/>
      <c r="N131" s="344">
        <f>SUM(O131:Q131)</f>
        <v>370.26</v>
      </c>
      <c r="O131" s="934">
        <v>370.26</v>
      </c>
      <c r="P131" s="552"/>
      <c r="Q131" s="554"/>
      <c r="R131" s="322"/>
    </row>
    <row r="132" spans="1:18" ht="12.75">
      <c r="A132" s="728" t="s">
        <v>74</v>
      </c>
      <c r="B132" s="834">
        <v>3524</v>
      </c>
      <c r="C132" s="835" t="s">
        <v>43</v>
      </c>
      <c r="D132" s="836">
        <v>210</v>
      </c>
      <c r="E132" s="762" t="s">
        <v>182</v>
      </c>
      <c r="F132" s="837">
        <f t="shared" si="18"/>
        <v>2500</v>
      </c>
      <c r="G132" s="838">
        <v>2500</v>
      </c>
      <c r="H132" s="838"/>
      <c r="I132" s="840"/>
      <c r="J132" s="837">
        <f t="shared" si="19"/>
        <v>0</v>
      </c>
      <c r="K132" s="838">
        <f>2500-2500</f>
        <v>0</v>
      </c>
      <c r="L132" s="838"/>
      <c r="M132" s="839"/>
      <c r="N132" s="642">
        <f t="shared" si="20"/>
        <v>0</v>
      </c>
      <c r="O132" s="933">
        <v>0</v>
      </c>
      <c r="P132" s="838"/>
      <c r="Q132" s="840"/>
      <c r="R132" s="322"/>
    </row>
    <row r="133" spans="1:18" ht="13.5" thickBot="1">
      <c r="A133" s="795" t="s">
        <v>284</v>
      </c>
      <c r="B133" s="769">
        <v>3524</v>
      </c>
      <c r="C133" s="770" t="s">
        <v>43</v>
      </c>
      <c r="D133" s="841" t="s">
        <v>282</v>
      </c>
      <c r="E133" s="842" t="s">
        <v>285</v>
      </c>
      <c r="F133" s="843">
        <f t="shared" si="18"/>
        <v>0</v>
      </c>
      <c r="G133" s="844">
        <v>0</v>
      </c>
      <c r="H133" s="844"/>
      <c r="I133" s="845"/>
      <c r="J133" s="843">
        <f t="shared" si="19"/>
        <v>3000</v>
      </c>
      <c r="K133" s="846">
        <v>3000</v>
      </c>
      <c r="L133" s="846"/>
      <c r="M133" s="847"/>
      <c r="N133" s="649">
        <f t="shared" si="20"/>
        <v>0</v>
      </c>
      <c r="O133" s="935">
        <v>0</v>
      </c>
      <c r="P133" s="846"/>
      <c r="Q133" s="845"/>
      <c r="R133" s="322"/>
    </row>
    <row r="134" spans="1:18" ht="12" customHeight="1">
      <c r="A134" s="212" t="s">
        <v>208</v>
      </c>
      <c r="B134" s="279">
        <v>3524</v>
      </c>
      <c r="C134" s="313" t="s">
        <v>43</v>
      </c>
      <c r="D134" s="438">
        <v>210</v>
      </c>
      <c r="E134" s="592" t="s">
        <v>183</v>
      </c>
      <c r="F134" s="113">
        <f t="shared" si="18"/>
        <v>2000</v>
      </c>
      <c r="G134" s="65">
        <v>2000</v>
      </c>
      <c r="H134" s="65"/>
      <c r="I134" s="140"/>
      <c r="J134" s="113">
        <f t="shared" si="19"/>
        <v>0</v>
      </c>
      <c r="K134" s="280">
        <f>2000-2000</f>
        <v>0</v>
      </c>
      <c r="L134" s="280"/>
      <c r="M134" s="363"/>
      <c r="N134" s="171">
        <f t="shared" si="20"/>
        <v>0</v>
      </c>
      <c r="O134" s="362">
        <v>0</v>
      </c>
      <c r="P134" s="280"/>
      <c r="Q134" s="302"/>
      <c r="R134" s="322"/>
    </row>
    <row r="135" spans="1:18" ht="12.75">
      <c r="A135" s="212" t="s">
        <v>66</v>
      </c>
      <c r="B135" s="279">
        <v>3539</v>
      </c>
      <c r="C135" s="313" t="s">
        <v>43</v>
      </c>
      <c r="D135" s="438">
        <v>210</v>
      </c>
      <c r="E135" s="591" t="s">
        <v>184</v>
      </c>
      <c r="F135" s="113">
        <f t="shared" si="18"/>
        <v>1000</v>
      </c>
      <c r="G135" s="65">
        <v>1000</v>
      </c>
      <c r="H135" s="65"/>
      <c r="I135" s="302"/>
      <c r="J135" s="113">
        <f t="shared" si="19"/>
        <v>500</v>
      </c>
      <c r="K135" s="280">
        <f>1000-500</f>
        <v>500</v>
      </c>
      <c r="L135" s="280"/>
      <c r="M135" s="363"/>
      <c r="N135" s="171">
        <f t="shared" si="20"/>
        <v>240.36</v>
      </c>
      <c r="O135" s="362">
        <v>240.36</v>
      </c>
      <c r="P135" s="280"/>
      <c r="Q135" s="302"/>
      <c r="R135" s="322"/>
    </row>
    <row r="136" spans="1:18" ht="12.75">
      <c r="A136" s="213" t="s">
        <v>209</v>
      </c>
      <c r="B136" s="441">
        <v>4339</v>
      </c>
      <c r="C136" s="442" t="s">
        <v>228</v>
      </c>
      <c r="D136" s="178">
        <v>210</v>
      </c>
      <c r="E136" s="592" t="s">
        <v>185</v>
      </c>
      <c r="F136" s="113">
        <f t="shared" si="18"/>
        <v>300</v>
      </c>
      <c r="G136" s="443">
        <v>300</v>
      </c>
      <c r="H136" s="443"/>
      <c r="I136" s="444"/>
      <c r="J136" s="513">
        <f t="shared" si="19"/>
        <v>3300</v>
      </c>
      <c r="K136" s="514">
        <f>300+3000</f>
        <v>3300</v>
      </c>
      <c r="L136" s="514"/>
      <c r="M136" s="515"/>
      <c r="N136" s="218">
        <f t="shared" si="20"/>
        <v>1415.52</v>
      </c>
      <c r="O136" s="936">
        <v>1415.52</v>
      </c>
      <c r="P136" s="514"/>
      <c r="Q136" s="512"/>
      <c r="R136" s="322"/>
    </row>
    <row r="137" spans="1:18" ht="12.75">
      <c r="A137" s="222" t="s">
        <v>210</v>
      </c>
      <c r="B137" s="92">
        <v>4227</v>
      </c>
      <c r="C137" s="232" t="s">
        <v>43</v>
      </c>
      <c r="D137" s="177">
        <v>210</v>
      </c>
      <c r="E137" s="591" t="s">
        <v>186</v>
      </c>
      <c r="F137" s="114">
        <f aca="true" t="shared" si="21" ref="F137:F143">SUM(G137:I137)</f>
        <v>800</v>
      </c>
      <c r="G137" s="255"/>
      <c r="H137" s="255"/>
      <c r="I137" s="303">
        <v>800</v>
      </c>
      <c r="J137" s="114">
        <f t="shared" si="19"/>
        <v>825</v>
      </c>
      <c r="K137" s="255"/>
      <c r="L137" s="255"/>
      <c r="M137" s="303">
        <f>800+25</f>
        <v>825</v>
      </c>
      <c r="N137" s="174">
        <f t="shared" si="20"/>
        <v>824.79</v>
      </c>
      <c r="O137" s="254"/>
      <c r="P137" s="255"/>
      <c r="Q137" s="303">
        <v>824.79</v>
      </c>
      <c r="R137" s="322"/>
    </row>
    <row r="138" spans="1:18" ht="13.5" thickBot="1">
      <c r="A138" s="213" t="s">
        <v>264</v>
      </c>
      <c r="B138" s="441">
        <v>3524</v>
      </c>
      <c r="C138" s="442" t="s">
        <v>43</v>
      </c>
      <c r="D138" s="180">
        <v>90</v>
      </c>
      <c r="E138" s="968" t="s">
        <v>265</v>
      </c>
      <c r="F138" s="551">
        <f t="shared" si="21"/>
        <v>0</v>
      </c>
      <c r="G138" s="443">
        <v>0</v>
      </c>
      <c r="H138" s="443"/>
      <c r="I138" s="554"/>
      <c r="J138" s="551">
        <f t="shared" si="19"/>
        <v>320.3</v>
      </c>
      <c r="K138" s="552">
        <v>320.3</v>
      </c>
      <c r="L138" s="552"/>
      <c r="M138" s="553"/>
      <c r="N138" s="344">
        <f t="shared" si="20"/>
        <v>223.04</v>
      </c>
      <c r="O138" s="934">
        <v>223.04</v>
      </c>
      <c r="P138" s="552"/>
      <c r="Q138" s="554"/>
      <c r="R138" s="322"/>
    </row>
    <row r="139" spans="1:18" ht="12.75">
      <c r="A139" s="728" t="s">
        <v>270</v>
      </c>
      <c r="B139" s="834">
        <v>3524</v>
      </c>
      <c r="C139" s="835" t="s">
        <v>43</v>
      </c>
      <c r="D139" s="836">
        <v>127</v>
      </c>
      <c r="E139" s="969" t="s">
        <v>271</v>
      </c>
      <c r="F139" s="837">
        <f>SUM(G139:I139)</f>
        <v>0</v>
      </c>
      <c r="G139" s="838"/>
      <c r="H139" s="838"/>
      <c r="I139" s="840">
        <v>0</v>
      </c>
      <c r="J139" s="837">
        <f>SUM(K139:M139)</f>
        <v>0</v>
      </c>
      <c r="K139" s="838"/>
      <c r="L139" s="838"/>
      <c r="M139" s="839">
        <f>114-114</f>
        <v>0</v>
      </c>
      <c r="N139" s="642">
        <f>SUM(O139:Q139)</f>
        <v>0</v>
      </c>
      <c r="O139" s="933"/>
      <c r="P139" s="838"/>
      <c r="Q139" s="840">
        <v>0</v>
      </c>
      <c r="R139" s="322"/>
    </row>
    <row r="140" spans="1:18" ht="13.5" thickBot="1">
      <c r="A140" s="795" t="s">
        <v>302</v>
      </c>
      <c r="B140" s="769">
        <v>3524</v>
      </c>
      <c r="C140" s="770" t="s">
        <v>43</v>
      </c>
      <c r="D140" s="771">
        <v>127</v>
      </c>
      <c r="E140" s="970" t="s">
        <v>271</v>
      </c>
      <c r="F140" s="773">
        <f>SUM(G140:I140)</f>
        <v>0</v>
      </c>
      <c r="G140" s="774"/>
      <c r="H140" s="774"/>
      <c r="I140" s="775">
        <v>0</v>
      </c>
      <c r="J140" s="773">
        <f>SUM(K140:M140)</f>
        <v>114</v>
      </c>
      <c r="K140" s="776"/>
      <c r="L140" s="776"/>
      <c r="M140" s="777">
        <v>114</v>
      </c>
      <c r="N140" s="634">
        <f>SUM(O140:Q140)</f>
        <v>114</v>
      </c>
      <c r="O140" s="932"/>
      <c r="P140" s="776"/>
      <c r="Q140" s="775">
        <v>114</v>
      </c>
      <c r="R140" s="322"/>
    </row>
    <row r="141" spans="1:18" ht="13.5" thickBot="1">
      <c r="A141" s="213" t="s">
        <v>281</v>
      </c>
      <c r="B141" s="441">
        <v>3524</v>
      </c>
      <c r="C141" s="442" t="s">
        <v>43</v>
      </c>
      <c r="D141" s="952" t="s">
        <v>282</v>
      </c>
      <c r="E141" s="833" t="s">
        <v>280</v>
      </c>
      <c r="F141" s="551">
        <f t="shared" si="21"/>
        <v>0</v>
      </c>
      <c r="G141" s="443">
        <v>0</v>
      </c>
      <c r="H141" s="443"/>
      <c r="I141" s="444"/>
      <c r="J141" s="551">
        <f t="shared" si="19"/>
        <v>12000</v>
      </c>
      <c r="K141" s="552">
        <v>12000</v>
      </c>
      <c r="L141" s="552"/>
      <c r="M141" s="553"/>
      <c r="N141" s="344">
        <f t="shared" si="20"/>
        <v>4443.09</v>
      </c>
      <c r="O141" s="934">
        <v>4443.09</v>
      </c>
      <c r="P141" s="552"/>
      <c r="Q141" s="553"/>
      <c r="R141" s="322"/>
    </row>
    <row r="142" spans="1:18" ht="12.75">
      <c r="A142" s="728" t="s">
        <v>270</v>
      </c>
      <c r="B142" s="834">
        <v>4351</v>
      </c>
      <c r="C142" s="835" t="s">
        <v>43</v>
      </c>
      <c r="D142" s="953" t="s">
        <v>295</v>
      </c>
      <c r="E142" s="954" t="s">
        <v>296</v>
      </c>
      <c r="F142" s="837">
        <f t="shared" si="21"/>
        <v>0</v>
      </c>
      <c r="G142" s="838">
        <v>0</v>
      </c>
      <c r="H142" s="838"/>
      <c r="I142" s="840"/>
      <c r="J142" s="837">
        <f t="shared" si="19"/>
        <v>0</v>
      </c>
      <c r="K142" s="838"/>
      <c r="L142" s="838"/>
      <c r="M142" s="839">
        <f>500-500</f>
        <v>0</v>
      </c>
      <c r="N142" s="642">
        <f t="shared" si="20"/>
        <v>0</v>
      </c>
      <c r="O142" s="933"/>
      <c r="P142" s="838"/>
      <c r="Q142" s="840">
        <v>0</v>
      </c>
      <c r="R142" s="322"/>
    </row>
    <row r="143" spans="1:18" ht="13.5" thickBot="1">
      <c r="A143" s="795" t="s">
        <v>302</v>
      </c>
      <c r="B143" s="769" t="s">
        <v>303</v>
      </c>
      <c r="C143" s="770" t="s">
        <v>43</v>
      </c>
      <c r="D143" s="955" t="s">
        <v>295</v>
      </c>
      <c r="E143" s="956" t="s">
        <v>296</v>
      </c>
      <c r="F143" s="843">
        <f t="shared" si="21"/>
        <v>0</v>
      </c>
      <c r="G143" s="774">
        <v>0</v>
      </c>
      <c r="H143" s="774"/>
      <c r="I143" s="775"/>
      <c r="J143" s="773">
        <f t="shared" si="19"/>
        <v>500</v>
      </c>
      <c r="K143" s="776"/>
      <c r="L143" s="776"/>
      <c r="M143" s="777">
        <v>500</v>
      </c>
      <c r="N143" s="634">
        <f t="shared" si="20"/>
        <v>500</v>
      </c>
      <c r="O143" s="932"/>
      <c r="P143" s="776"/>
      <c r="Q143" s="775">
        <v>500</v>
      </c>
      <c r="R143" s="322"/>
    </row>
    <row r="144" spans="1:18" ht="13.5" thickBot="1">
      <c r="A144" s="116"/>
      <c r="B144" s="63"/>
      <c r="C144" s="103"/>
      <c r="D144" s="63"/>
      <c r="E144" s="64"/>
      <c r="F144" s="50"/>
      <c r="G144" s="50"/>
      <c r="H144" s="50"/>
      <c r="I144" s="50"/>
      <c r="J144" s="50"/>
      <c r="K144" s="50"/>
      <c r="L144" s="50"/>
      <c r="M144" s="50"/>
      <c r="N144" s="50"/>
      <c r="O144" s="61"/>
      <c r="P144" s="61"/>
      <c r="Q144" s="61"/>
      <c r="R144" s="323"/>
    </row>
    <row r="145" spans="1:18" ht="14.25" thickBot="1" thickTop="1">
      <c r="A145" s="51"/>
      <c r="B145" s="93"/>
      <c r="C145" s="104"/>
      <c r="D145" s="90"/>
      <c r="E145" s="52" t="s">
        <v>18</v>
      </c>
      <c r="F145" s="169">
        <f aca="true" t="shared" si="22" ref="F145:F150">SUM(G145:I145)</f>
        <v>3470</v>
      </c>
      <c r="G145" s="154">
        <f>SUM(G146:G150)</f>
        <v>500</v>
      </c>
      <c r="H145" s="152">
        <f>SUM(H146:H150)</f>
        <v>0</v>
      </c>
      <c r="I145" s="152">
        <f>SUM(I146:I150)</f>
        <v>2970</v>
      </c>
      <c r="J145" s="134">
        <f aca="true" t="shared" si="23" ref="J145:J150">SUM(K145:M145)</f>
        <v>3740</v>
      </c>
      <c r="K145" s="152">
        <f>SUM(K146:K150)</f>
        <v>1370</v>
      </c>
      <c r="L145" s="152">
        <f>SUM(L146:L150)</f>
        <v>0</v>
      </c>
      <c r="M145" s="152">
        <f>SUM(M146:M150)</f>
        <v>2370</v>
      </c>
      <c r="N145" s="198">
        <f aca="true" t="shared" si="24" ref="N145:N150">SUM(O145:Q145)</f>
        <v>2719.47</v>
      </c>
      <c r="O145" s="364">
        <f>SUM(O146:O150)</f>
        <v>887.17</v>
      </c>
      <c r="P145" s="365">
        <f>SUM(P146:P150)</f>
        <v>0</v>
      </c>
      <c r="Q145" s="366">
        <f>SUM(Q146:Q150)</f>
        <v>1832.3</v>
      </c>
      <c r="R145" s="324">
        <f>SUM(N145/J145)</f>
        <v>0.7271310160427807</v>
      </c>
    </row>
    <row r="146" spans="1:18" ht="13.5" thickTop="1">
      <c r="A146" s="426">
        <v>17643</v>
      </c>
      <c r="B146" s="281">
        <v>3326</v>
      </c>
      <c r="C146" s="282" t="s">
        <v>44</v>
      </c>
      <c r="D146" s="283">
        <v>10</v>
      </c>
      <c r="E146" s="392" t="s">
        <v>187</v>
      </c>
      <c r="F146" s="284">
        <f t="shared" si="22"/>
        <v>2400</v>
      </c>
      <c r="G146" s="285">
        <v>500</v>
      </c>
      <c r="H146" s="286"/>
      <c r="I146" s="287">
        <v>1900</v>
      </c>
      <c r="J146" s="288">
        <f t="shared" si="23"/>
        <v>2600</v>
      </c>
      <c r="K146" s="557">
        <f>500+200+200</f>
        <v>900</v>
      </c>
      <c r="L146" s="286"/>
      <c r="M146" s="465">
        <f>1900-200</f>
        <v>1700</v>
      </c>
      <c r="N146" s="289">
        <f t="shared" si="24"/>
        <v>2245.5</v>
      </c>
      <c r="O146" s="937">
        <v>672.5</v>
      </c>
      <c r="P146" s="361"/>
      <c r="Q146" s="938">
        <v>1573</v>
      </c>
      <c r="R146" s="322"/>
    </row>
    <row r="147" spans="1:18" ht="12.75">
      <c r="A147" s="325">
        <v>20632</v>
      </c>
      <c r="B147" s="516">
        <v>3326</v>
      </c>
      <c r="C147" s="208" t="s">
        <v>44</v>
      </c>
      <c r="D147" s="517">
        <v>10</v>
      </c>
      <c r="E147" s="392" t="s">
        <v>188</v>
      </c>
      <c r="F147" s="199">
        <f t="shared" si="22"/>
        <v>120</v>
      </c>
      <c r="G147" s="450"/>
      <c r="H147" s="77"/>
      <c r="I147" s="519">
        <v>120</v>
      </c>
      <c r="J147" s="496">
        <f t="shared" si="23"/>
        <v>120</v>
      </c>
      <c r="K147" s="450"/>
      <c r="L147" s="77"/>
      <c r="M147" s="562">
        <v>120</v>
      </c>
      <c r="N147" s="199">
        <f t="shared" si="24"/>
        <v>119.3</v>
      </c>
      <c r="O147" s="254"/>
      <c r="P147" s="256"/>
      <c r="Q147" s="303">
        <v>119.3</v>
      </c>
      <c r="R147" s="322"/>
    </row>
    <row r="148" spans="1:18" ht="12.75">
      <c r="A148" s="325">
        <v>20633</v>
      </c>
      <c r="B148" s="516">
        <v>3326</v>
      </c>
      <c r="C148" s="208" t="s">
        <v>44</v>
      </c>
      <c r="D148" s="517">
        <v>10</v>
      </c>
      <c r="E148" s="518" t="s">
        <v>61</v>
      </c>
      <c r="F148" s="199">
        <f t="shared" si="22"/>
        <v>300</v>
      </c>
      <c r="G148" s="450"/>
      <c r="H148" s="77"/>
      <c r="I148" s="519">
        <v>300</v>
      </c>
      <c r="J148" s="496">
        <f>SUM(K148:M148)</f>
        <v>300</v>
      </c>
      <c r="K148" s="450"/>
      <c r="L148" s="77"/>
      <c r="M148" s="520">
        <v>300</v>
      </c>
      <c r="N148" s="199">
        <f>SUM(O148:Q148)</f>
        <v>140</v>
      </c>
      <c r="O148" s="254"/>
      <c r="P148" s="256"/>
      <c r="Q148" s="303">
        <v>140</v>
      </c>
      <c r="R148" s="322"/>
    </row>
    <row r="149" spans="1:18" ht="12.75" customHeight="1">
      <c r="A149" s="325">
        <v>20634</v>
      </c>
      <c r="B149" s="594">
        <v>3326</v>
      </c>
      <c r="C149" s="232" t="s">
        <v>44</v>
      </c>
      <c r="D149" s="517">
        <v>10</v>
      </c>
      <c r="E149" s="593" t="s">
        <v>189</v>
      </c>
      <c r="F149" s="199">
        <f t="shared" si="22"/>
        <v>650</v>
      </c>
      <c r="G149" s="450"/>
      <c r="H149" s="77"/>
      <c r="I149" s="595">
        <v>650</v>
      </c>
      <c r="J149" s="496">
        <f>SUM(K149:M149)</f>
        <v>250</v>
      </c>
      <c r="K149" s="450"/>
      <c r="L149" s="77"/>
      <c r="M149" s="596">
        <f>650-400</f>
        <v>250</v>
      </c>
      <c r="N149" s="199">
        <f>SUM(O149:Q149)</f>
        <v>0</v>
      </c>
      <c r="O149" s="254"/>
      <c r="P149" s="256"/>
      <c r="Q149" s="303">
        <v>0</v>
      </c>
      <c r="R149" s="322"/>
    </row>
    <row r="150" spans="1:18" ht="12.75" customHeight="1">
      <c r="A150" s="325">
        <v>20650</v>
      </c>
      <c r="B150" s="594">
        <v>3326</v>
      </c>
      <c r="C150" s="106" t="s">
        <v>44</v>
      </c>
      <c r="D150" s="517"/>
      <c r="E150" s="382" t="s">
        <v>273</v>
      </c>
      <c r="F150" s="199">
        <f t="shared" si="22"/>
        <v>0</v>
      </c>
      <c r="G150" s="450">
        <v>0</v>
      </c>
      <c r="H150" s="77"/>
      <c r="I150" s="139"/>
      <c r="J150" s="496">
        <f t="shared" si="23"/>
        <v>470</v>
      </c>
      <c r="K150" s="450">
        <v>470</v>
      </c>
      <c r="L150" s="77"/>
      <c r="M150" s="139"/>
      <c r="N150" s="199">
        <f t="shared" si="24"/>
        <v>214.67</v>
      </c>
      <c r="O150" s="254">
        <v>214.67</v>
      </c>
      <c r="P150" s="256"/>
      <c r="Q150" s="303"/>
      <c r="R150" s="322"/>
    </row>
    <row r="151" spans="1:18" ht="13.5" thickBot="1">
      <c r="A151" s="119"/>
      <c r="B151" s="94"/>
      <c r="C151" s="105"/>
      <c r="D151" s="95"/>
      <c r="E151" s="66"/>
      <c r="F151" s="67"/>
      <c r="G151" s="67"/>
      <c r="H151" s="67"/>
      <c r="I151" s="67"/>
      <c r="J151" s="67"/>
      <c r="K151" s="68"/>
      <c r="L151" s="67"/>
      <c r="M151" s="68"/>
      <c r="N151" s="67"/>
      <c r="O151" s="68"/>
      <c r="P151" s="67"/>
      <c r="Q151" s="68"/>
      <c r="R151" s="323"/>
    </row>
    <row r="152" spans="1:18" ht="14.25" thickBot="1" thickTop="1">
      <c r="A152" s="51"/>
      <c r="B152" s="96"/>
      <c r="C152" s="100"/>
      <c r="D152" s="90"/>
      <c r="E152" s="52" t="s">
        <v>41</v>
      </c>
      <c r="F152" s="151">
        <f aca="true" t="shared" si="25" ref="F152:F157">SUM(G152:I152)</f>
        <v>2100</v>
      </c>
      <c r="G152" s="152">
        <f>SUM(G153:G157)</f>
        <v>0</v>
      </c>
      <c r="H152" s="152">
        <f>SUM(H153:H157)</f>
        <v>2100</v>
      </c>
      <c r="I152" s="152">
        <f>SUM(I153:I157)</f>
        <v>0</v>
      </c>
      <c r="J152" s="134">
        <f aca="true" t="shared" si="26" ref="J152:J157">SUM(K152:M152)</f>
        <v>3000</v>
      </c>
      <c r="K152" s="154">
        <f>SUM(K153:K157)</f>
        <v>264.9</v>
      </c>
      <c r="L152" s="154">
        <f>SUM(L153:L157)</f>
        <v>2436.1</v>
      </c>
      <c r="M152" s="154">
        <f>SUM(M153:M157)</f>
        <v>299</v>
      </c>
      <c r="N152" s="169">
        <f aca="true" t="shared" si="27" ref="N152:N157">SUM(O152:Q152)</f>
        <v>930.16</v>
      </c>
      <c r="O152" s="364">
        <f>SUM(O153:O157)</f>
        <v>264.9</v>
      </c>
      <c r="P152" s="365">
        <f>SUM(P153:P157)</f>
        <v>366.27</v>
      </c>
      <c r="Q152" s="366">
        <f>SUM(Q153:Q157)</f>
        <v>298.99</v>
      </c>
      <c r="R152" s="324">
        <f>SUM(N152/J152)</f>
        <v>0.31005333333333335</v>
      </c>
    </row>
    <row r="153" spans="1:18" ht="14.25" thickBot="1" thickTop="1">
      <c r="A153" s="204" t="s">
        <v>62</v>
      </c>
      <c r="B153" s="205">
        <v>5212</v>
      </c>
      <c r="C153" s="332" t="s">
        <v>229</v>
      </c>
      <c r="D153" s="206">
        <v>10</v>
      </c>
      <c r="E153" s="957" t="s">
        <v>49</v>
      </c>
      <c r="F153" s="333">
        <f t="shared" si="25"/>
        <v>2100</v>
      </c>
      <c r="G153" s="250"/>
      <c r="H153" s="250">
        <v>2100</v>
      </c>
      <c r="I153" s="207"/>
      <c r="J153" s="333">
        <f t="shared" si="26"/>
        <v>2100</v>
      </c>
      <c r="K153" s="249"/>
      <c r="L153" s="250">
        <v>2100</v>
      </c>
      <c r="M153" s="307"/>
      <c r="N153" s="334">
        <f t="shared" si="27"/>
        <v>30.19</v>
      </c>
      <c r="O153" s="249"/>
      <c r="P153" s="269">
        <v>30.19</v>
      </c>
      <c r="Q153" s="367"/>
      <c r="R153" s="322"/>
    </row>
    <row r="154" spans="1:18" ht="12.75">
      <c r="A154" s="958" t="s">
        <v>293</v>
      </c>
      <c r="B154" s="959">
        <v>5213</v>
      </c>
      <c r="C154" s="960" t="s">
        <v>229</v>
      </c>
      <c r="D154" s="961">
        <v>127</v>
      </c>
      <c r="E154" s="597" t="s">
        <v>292</v>
      </c>
      <c r="F154" s="962">
        <f t="shared" si="25"/>
        <v>0</v>
      </c>
      <c r="G154" s="627"/>
      <c r="H154" s="627"/>
      <c r="I154" s="628">
        <v>0</v>
      </c>
      <c r="J154" s="962">
        <f t="shared" si="26"/>
        <v>0</v>
      </c>
      <c r="K154" s="626"/>
      <c r="L154" s="627"/>
      <c r="M154" s="963">
        <f>500-500</f>
        <v>0</v>
      </c>
      <c r="N154" s="964">
        <f t="shared" si="27"/>
        <v>0</v>
      </c>
      <c r="O154" s="626"/>
      <c r="P154" s="657"/>
      <c r="Q154" s="975">
        <v>0</v>
      </c>
      <c r="R154" s="322"/>
    </row>
    <row r="155" spans="1:18" ht="13.5" thickBot="1">
      <c r="A155" s="951" t="s">
        <v>304</v>
      </c>
      <c r="B155" s="739" t="s">
        <v>305</v>
      </c>
      <c r="C155" s="965" t="s">
        <v>229</v>
      </c>
      <c r="D155" s="741">
        <v>127</v>
      </c>
      <c r="E155" s="789" t="s">
        <v>292</v>
      </c>
      <c r="F155" s="966">
        <f t="shared" si="25"/>
        <v>0</v>
      </c>
      <c r="G155" s="636"/>
      <c r="H155" s="636"/>
      <c r="I155" s="637">
        <v>0</v>
      </c>
      <c r="J155" s="966">
        <f t="shared" si="26"/>
        <v>299</v>
      </c>
      <c r="K155" s="635"/>
      <c r="L155" s="636"/>
      <c r="M155" s="981">
        <f>500-201</f>
        <v>299</v>
      </c>
      <c r="N155" s="887">
        <f t="shared" si="27"/>
        <v>298.99</v>
      </c>
      <c r="O155" s="635"/>
      <c r="P155" s="667"/>
      <c r="Q155" s="967">
        <v>298.99</v>
      </c>
      <c r="R155" s="322"/>
    </row>
    <row r="156" spans="1:18" ht="12.75">
      <c r="A156" s="972" t="s">
        <v>306</v>
      </c>
      <c r="B156" s="697">
        <v>5213</v>
      </c>
      <c r="C156" s="796" t="s">
        <v>229</v>
      </c>
      <c r="D156" s="730">
        <v>127</v>
      </c>
      <c r="E156" s="973" t="s">
        <v>298</v>
      </c>
      <c r="F156" s="946">
        <f t="shared" si="25"/>
        <v>0</v>
      </c>
      <c r="G156" s="702">
        <v>0</v>
      </c>
      <c r="H156" s="702"/>
      <c r="I156" s="703"/>
      <c r="J156" s="946">
        <f t="shared" si="26"/>
        <v>336.1</v>
      </c>
      <c r="K156" s="639"/>
      <c r="L156" s="702">
        <f>400-63.9</f>
        <v>336.1</v>
      </c>
      <c r="M156" s="971"/>
      <c r="N156" s="810">
        <f t="shared" si="27"/>
        <v>336.08</v>
      </c>
      <c r="O156" s="639"/>
      <c r="P156" s="705">
        <v>336.08</v>
      </c>
      <c r="Q156" s="943"/>
      <c r="R156" s="322"/>
    </row>
    <row r="157" spans="1:18" ht="12.75">
      <c r="A157" s="976" t="s">
        <v>307</v>
      </c>
      <c r="B157" s="42">
        <v>5213</v>
      </c>
      <c r="C157" s="127" t="s">
        <v>229</v>
      </c>
      <c r="D157" s="162">
        <v>127</v>
      </c>
      <c r="E157" s="982" t="s">
        <v>311</v>
      </c>
      <c r="F157" s="118">
        <f t="shared" si="25"/>
        <v>0</v>
      </c>
      <c r="G157" s="57">
        <v>0</v>
      </c>
      <c r="H157" s="57"/>
      <c r="I157" s="141"/>
      <c r="J157" s="118">
        <f t="shared" si="26"/>
        <v>264.9</v>
      </c>
      <c r="K157" s="245">
        <v>264.9</v>
      </c>
      <c r="L157" s="57"/>
      <c r="M157" s="142"/>
      <c r="N157" s="202">
        <f t="shared" si="27"/>
        <v>264.9</v>
      </c>
      <c r="O157" s="245">
        <v>264.9</v>
      </c>
      <c r="P157" s="257"/>
      <c r="Q157" s="273"/>
      <c r="R157" s="322"/>
    </row>
    <row r="158" spans="1:18" ht="13.5" thickBot="1">
      <c r="A158" s="119"/>
      <c r="B158" s="94"/>
      <c r="C158" s="105"/>
      <c r="D158" s="95"/>
      <c r="E158" s="66"/>
      <c r="F158" s="67"/>
      <c r="G158" s="67"/>
      <c r="H158" s="67"/>
      <c r="I158" s="67"/>
      <c r="J158" s="67"/>
      <c r="K158" s="68"/>
      <c r="L158" s="67"/>
      <c r="M158" s="68"/>
      <c r="N158" s="67"/>
      <c r="O158" s="357"/>
      <c r="P158" s="357"/>
      <c r="Q158" s="67"/>
      <c r="R158" s="327"/>
    </row>
    <row r="159" spans="1:18" ht="14.25" thickBot="1" thickTop="1">
      <c r="A159" s="51"/>
      <c r="B159" s="96"/>
      <c r="C159" s="100"/>
      <c r="D159" s="90"/>
      <c r="E159" s="52" t="s">
        <v>12</v>
      </c>
      <c r="F159" s="151">
        <f>SUM(G159:I159)</f>
        <v>103370</v>
      </c>
      <c r="G159" s="152">
        <f>SUM(G160:G186)</f>
        <v>102670</v>
      </c>
      <c r="H159" s="152">
        <f>SUM(H160:H186)</f>
        <v>700</v>
      </c>
      <c r="I159" s="152">
        <f>SUM(I160:I186)</f>
        <v>0</v>
      </c>
      <c r="J159" s="134">
        <f>SUM(K159:M159)</f>
        <v>77717.9</v>
      </c>
      <c r="K159" s="154">
        <f>SUM(K160:K186)</f>
        <v>76257.4</v>
      </c>
      <c r="L159" s="154">
        <f>SUM(L160:L186)</f>
        <v>1270</v>
      </c>
      <c r="M159" s="154">
        <f>SUM(M160:M186)</f>
        <v>190.5</v>
      </c>
      <c r="N159" s="169">
        <f aca="true" t="shared" si="28" ref="N159:N182">SUM(O159:Q159)</f>
        <v>51212.94</v>
      </c>
      <c r="O159" s="154">
        <f>SUM(O160:O186)</f>
        <v>50907.170000000006</v>
      </c>
      <c r="P159" s="152">
        <f>SUM(P160:P186)</f>
        <v>305.77</v>
      </c>
      <c r="Q159" s="268">
        <f>SUM(Q160:Q186)</f>
        <v>0</v>
      </c>
      <c r="R159" s="324">
        <f>SUM(N159/J159)</f>
        <v>0.6589593903077671</v>
      </c>
    </row>
    <row r="160" spans="1:18" ht="13.5" customHeight="1" thickTop="1">
      <c r="A160" s="531">
        <v>14623</v>
      </c>
      <c r="B160" s="532">
        <v>3612</v>
      </c>
      <c r="C160" s="533" t="s">
        <v>32</v>
      </c>
      <c r="D160" s="311">
        <v>10</v>
      </c>
      <c r="E160" s="521" t="s">
        <v>190</v>
      </c>
      <c r="F160" s="534">
        <f>SUM(G160:I160)</f>
        <v>2000</v>
      </c>
      <c r="G160" s="535">
        <v>2000</v>
      </c>
      <c r="H160" s="535"/>
      <c r="I160" s="536"/>
      <c r="J160" s="534">
        <f>SUM(K160:M160)</f>
        <v>380</v>
      </c>
      <c r="K160" s="537">
        <f>2000-1870+250</f>
        <v>380</v>
      </c>
      <c r="L160" s="535"/>
      <c r="M160" s="536"/>
      <c r="N160" s="561">
        <f t="shared" si="28"/>
        <v>217.2</v>
      </c>
      <c r="O160" s="939">
        <v>217.2</v>
      </c>
      <c r="P160" s="538"/>
      <c r="Q160" s="539"/>
      <c r="R160" s="322"/>
    </row>
    <row r="161" spans="1:18" ht="13.5" customHeight="1" thickBot="1">
      <c r="A161" s="330">
        <v>14628</v>
      </c>
      <c r="B161" s="181">
        <v>3612</v>
      </c>
      <c r="C161" s="182" t="s">
        <v>32</v>
      </c>
      <c r="D161" s="183">
        <v>10</v>
      </c>
      <c r="E161" s="404" t="s">
        <v>191</v>
      </c>
      <c r="F161" s="400">
        <f aca="true" t="shared" si="29" ref="F161:F172">SUM(G161:I161)</f>
        <v>1000</v>
      </c>
      <c r="G161" s="184">
        <v>1000</v>
      </c>
      <c r="H161" s="184"/>
      <c r="I161" s="186"/>
      <c r="J161" s="400">
        <f aca="true" t="shared" si="30" ref="J161:J172">SUM(K161:M161)</f>
        <v>1000</v>
      </c>
      <c r="K161" s="248">
        <v>1000</v>
      </c>
      <c r="L161" s="184"/>
      <c r="M161" s="186"/>
      <c r="N161" s="201">
        <f aca="true" t="shared" si="31" ref="N161:N168">SUM(O161:Q161)</f>
        <v>0</v>
      </c>
      <c r="O161" s="247">
        <v>0</v>
      </c>
      <c r="P161" s="270"/>
      <c r="Q161" s="401"/>
      <c r="R161" s="322"/>
    </row>
    <row r="162" spans="1:18" ht="13.5" customHeight="1">
      <c r="A162" s="945">
        <v>14635</v>
      </c>
      <c r="B162" s="697">
        <v>3612</v>
      </c>
      <c r="C162" s="796" t="s">
        <v>32</v>
      </c>
      <c r="D162" s="782">
        <v>10</v>
      </c>
      <c r="E162" s="977" t="s">
        <v>75</v>
      </c>
      <c r="F162" s="946">
        <f t="shared" si="29"/>
        <v>55000</v>
      </c>
      <c r="G162" s="702">
        <v>55000</v>
      </c>
      <c r="H162" s="702"/>
      <c r="I162" s="703"/>
      <c r="J162" s="946">
        <f t="shared" si="30"/>
        <v>0</v>
      </c>
      <c r="K162" s="702">
        <f>55000-5000-80-250-49670</f>
        <v>0</v>
      </c>
      <c r="L162" s="702"/>
      <c r="M162" s="703"/>
      <c r="N162" s="974">
        <f t="shared" si="31"/>
        <v>0</v>
      </c>
      <c r="O162" s="639">
        <v>0</v>
      </c>
      <c r="P162" s="705"/>
      <c r="Q162" s="943"/>
      <c r="R162" s="322"/>
    </row>
    <row r="163" spans="1:18" ht="13.5" customHeight="1">
      <c r="A163" s="979" t="s">
        <v>301</v>
      </c>
      <c r="B163" s="486">
        <v>3612</v>
      </c>
      <c r="C163" s="127" t="s">
        <v>32</v>
      </c>
      <c r="D163" s="179">
        <v>10</v>
      </c>
      <c r="E163" s="598" t="s">
        <v>75</v>
      </c>
      <c r="F163" s="118">
        <f>SUM(G163:I163)</f>
        <v>0</v>
      </c>
      <c r="G163" s="246">
        <v>0</v>
      </c>
      <c r="H163" s="246"/>
      <c r="I163" s="141"/>
      <c r="J163" s="118">
        <f aca="true" t="shared" si="32" ref="J163:J168">SUM(K163:M163)</f>
        <v>49670</v>
      </c>
      <c r="K163" s="246">
        <v>49670</v>
      </c>
      <c r="L163" s="246"/>
      <c r="M163" s="141"/>
      <c r="N163" s="980">
        <f>SUM(O163:Q163)</f>
        <v>40676.23</v>
      </c>
      <c r="O163" s="245">
        <v>40676.23</v>
      </c>
      <c r="P163" s="257"/>
      <c r="Q163" s="590"/>
      <c r="R163" s="322"/>
    </row>
    <row r="164" spans="1:18" ht="13.5" customHeight="1" thickBot="1">
      <c r="A164" s="978" t="s">
        <v>301</v>
      </c>
      <c r="B164" s="711">
        <v>3612</v>
      </c>
      <c r="C164" s="853" t="s">
        <v>32</v>
      </c>
      <c r="D164" s="854">
        <v>84</v>
      </c>
      <c r="E164" s="947" t="s">
        <v>300</v>
      </c>
      <c r="F164" s="948">
        <f>SUM(G164:I164)</f>
        <v>0</v>
      </c>
      <c r="G164" s="870">
        <v>0</v>
      </c>
      <c r="H164" s="870"/>
      <c r="I164" s="717"/>
      <c r="J164" s="948">
        <f t="shared" si="32"/>
        <v>6000</v>
      </c>
      <c r="K164" s="870">
        <v>6000</v>
      </c>
      <c r="L164" s="870"/>
      <c r="M164" s="717"/>
      <c r="N164" s="816">
        <f>SUM(O164:Q164)</f>
        <v>6000</v>
      </c>
      <c r="O164" s="646">
        <v>6000</v>
      </c>
      <c r="P164" s="716"/>
      <c r="Q164" s="944"/>
      <c r="R164" s="322"/>
    </row>
    <row r="165" spans="1:18" ht="13.5" customHeight="1">
      <c r="A165" s="611">
        <v>17625</v>
      </c>
      <c r="B165" s="486">
        <v>3612</v>
      </c>
      <c r="C165" s="127" t="s">
        <v>32</v>
      </c>
      <c r="D165" s="179">
        <v>10</v>
      </c>
      <c r="E165" s="598" t="s">
        <v>211</v>
      </c>
      <c r="F165" s="118">
        <f>SUM(G165:I165)</f>
        <v>2000</v>
      </c>
      <c r="G165" s="246">
        <v>2000</v>
      </c>
      <c r="H165" s="246"/>
      <c r="I165" s="141"/>
      <c r="J165" s="118">
        <f t="shared" si="32"/>
        <v>2000</v>
      </c>
      <c r="K165" s="246">
        <v>2000</v>
      </c>
      <c r="L165" s="246"/>
      <c r="M165" s="141"/>
      <c r="N165" s="202">
        <f t="shared" si="31"/>
        <v>0</v>
      </c>
      <c r="O165" s="245">
        <v>0</v>
      </c>
      <c r="P165" s="257"/>
      <c r="Q165" s="590"/>
      <c r="R165" s="322"/>
    </row>
    <row r="166" spans="1:18" ht="13.5" customHeight="1" thickBot="1">
      <c r="A166" s="446">
        <v>17628</v>
      </c>
      <c r="B166" s="489">
        <v>3612</v>
      </c>
      <c r="C166" s="877" t="s">
        <v>32</v>
      </c>
      <c r="D166" s="490">
        <v>210</v>
      </c>
      <c r="E166" s="878" t="s">
        <v>226</v>
      </c>
      <c r="F166" s="879">
        <v>0</v>
      </c>
      <c r="G166" s="301">
        <v>0</v>
      </c>
      <c r="H166" s="301"/>
      <c r="I166" s="188"/>
      <c r="J166" s="400">
        <f t="shared" si="32"/>
        <v>1800</v>
      </c>
      <c r="K166" s="248">
        <v>1800</v>
      </c>
      <c r="L166" s="248"/>
      <c r="M166" s="186"/>
      <c r="N166" s="201">
        <f t="shared" si="31"/>
        <v>1534.72</v>
      </c>
      <c r="O166" s="247">
        <v>1534.72</v>
      </c>
      <c r="P166" s="270"/>
      <c r="Q166" s="401"/>
      <c r="R166" s="322"/>
    </row>
    <row r="167" spans="1:18" ht="13.5" customHeight="1">
      <c r="A167" s="820">
        <v>17629</v>
      </c>
      <c r="B167" s="880">
        <v>3612</v>
      </c>
      <c r="C167" s="822" t="s">
        <v>32</v>
      </c>
      <c r="D167" s="881">
        <v>10</v>
      </c>
      <c r="E167" s="882" t="s">
        <v>236</v>
      </c>
      <c r="F167" s="807">
        <f>SUM(G167:I167)</f>
        <v>0</v>
      </c>
      <c r="G167" s="808"/>
      <c r="H167" s="808">
        <v>0</v>
      </c>
      <c r="I167" s="644"/>
      <c r="J167" s="807">
        <f t="shared" si="32"/>
        <v>220</v>
      </c>
      <c r="K167" s="808"/>
      <c r="L167" s="808">
        <v>220</v>
      </c>
      <c r="M167" s="644"/>
      <c r="N167" s="810">
        <f t="shared" si="31"/>
        <v>0</v>
      </c>
      <c r="O167" s="811"/>
      <c r="P167" s="940">
        <v>0</v>
      </c>
      <c r="Q167" s="812"/>
      <c r="R167" s="322"/>
    </row>
    <row r="168" spans="1:18" ht="13.5" customHeight="1" thickBot="1">
      <c r="A168" s="826">
        <v>17629</v>
      </c>
      <c r="B168" s="883">
        <v>3612</v>
      </c>
      <c r="C168" s="831" t="s">
        <v>32</v>
      </c>
      <c r="D168" s="884">
        <v>210</v>
      </c>
      <c r="E168" s="885" t="s">
        <v>236</v>
      </c>
      <c r="F168" s="813">
        <f>SUM(G168:I168)</f>
        <v>0</v>
      </c>
      <c r="G168" s="886"/>
      <c r="H168" s="886">
        <v>0</v>
      </c>
      <c r="I168" s="692"/>
      <c r="J168" s="813">
        <f t="shared" si="32"/>
        <v>250</v>
      </c>
      <c r="K168" s="886"/>
      <c r="L168" s="886">
        <f>250</f>
        <v>250</v>
      </c>
      <c r="M168" s="692"/>
      <c r="N168" s="887">
        <f t="shared" si="31"/>
        <v>73.21</v>
      </c>
      <c r="O168" s="888"/>
      <c r="P168" s="941">
        <v>73.21</v>
      </c>
      <c r="Q168" s="889"/>
      <c r="R168" s="322"/>
    </row>
    <row r="169" spans="1:18" ht="27" customHeight="1">
      <c r="A169" s="524">
        <v>17646</v>
      </c>
      <c r="B169" s="336">
        <v>3612</v>
      </c>
      <c r="C169" s="337" t="s">
        <v>32</v>
      </c>
      <c r="D169" s="338">
        <v>210</v>
      </c>
      <c r="E169" s="598" t="s">
        <v>192</v>
      </c>
      <c r="F169" s="163">
        <f t="shared" si="29"/>
        <v>11000</v>
      </c>
      <c r="G169" s="138">
        <v>11000</v>
      </c>
      <c r="H169" s="138"/>
      <c r="I169" s="339"/>
      <c r="J169" s="163">
        <f t="shared" si="30"/>
        <v>500</v>
      </c>
      <c r="K169" s="138">
        <f>11000-10500</f>
        <v>500</v>
      </c>
      <c r="L169" s="138"/>
      <c r="M169" s="339"/>
      <c r="N169" s="202">
        <f t="shared" si="28"/>
        <v>292.82</v>
      </c>
      <c r="O169" s="360">
        <v>292.82</v>
      </c>
      <c r="P169" s="257"/>
      <c r="Q169" s="273"/>
      <c r="R169" s="322"/>
    </row>
    <row r="170" spans="1:18" ht="13.5" customHeight="1">
      <c r="A170" s="328">
        <v>17680</v>
      </c>
      <c r="B170" s="210">
        <v>3612</v>
      </c>
      <c r="C170" s="106" t="s">
        <v>32</v>
      </c>
      <c r="D170" s="43">
        <v>210</v>
      </c>
      <c r="E170" s="403" t="s">
        <v>193</v>
      </c>
      <c r="F170" s="209">
        <f t="shared" si="29"/>
        <v>3000</v>
      </c>
      <c r="G170" s="44">
        <v>3000</v>
      </c>
      <c r="H170" s="44"/>
      <c r="I170" s="123"/>
      <c r="J170" s="209">
        <f t="shared" si="30"/>
        <v>2300</v>
      </c>
      <c r="K170" s="44">
        <f>3000-700</f>
        <v>2300</v>
      </c>
      <c r="L170" s="44"/>
      <c r="M170" s="123"/>
      <c r="N170" s="200">
        <f t="shared" si="28"/>
        <v>181.5</v>
      </c>
      <c r="O170" s="243">
        <v>181.5</v>
      </c>
      <c r="P170" s="259"/>
      <c r="Q170" s="274"/>
      <c r="R170" s="322"/>
    </row>
    <row r="171" spans="1:18" ht="13.5" customHeight="1">
      <c r="A171" s="335">
        <v>17681</v>
      </c>
      <c r="B171" s="405">
        <v>3612</v>
      </c>
      <c r="C171" s="406" t="s">
        <v>32</v>
      </c>
      <c r="D171" s="407">
        <v>10</v>
      </c>
      <c r="E171" s="403" t="s">
        <v>283</v>
      </c>
      <c r="F171" s="62">
        <f t="shared" si="29"/>
        <v>400</v>
      </c>
      <c r="G171" s="77">
        <v>400</v>
      </c>
      <c r="H171" s="77"/>
      <c r="I171" s="139"/>
      <c r="J171" s="62">
        <f t="shared" si="30"/>
        <v>0</v>
      </c>
      <c r="K171" s="77">
        <f>400-220-180</f>
        <v>0</v>
      </c>
      <c r="L171" s="77"/>
      <c r="M171" s="139"/>
      <c r="N171" s="200">
        <f>SUM(O171:Q171)</f>
        <v>0</v>
      </c>
      <c r="O171" s="256">
        <v>0</v>
      </c>
      <c r="P171" s="260"/>
      <c r="Q171" s="275"/>
      <c r="R171" s="322"/>
    </row>
    <row r="172" spans="1:18" ht="13.5" customHeight="1" thickBot="1">
      <c r="A172" s="330">
        <v>18635</v>
      </c>
      <c r="B172" s="818">
        <v>3612</v>
      </c>
      <c r="C172" s="182" t="s">
        <v>32</v>
      </c>
      <c r="D172" s="183">
        <v>10</v>
      </c>
      <c r="E172" s="530" t="s">
        <v>76</v>
      </c>
      <c r="F172" s="806">
        <f t="shared" si="29"/>
        <v>500</v>
      </c>
      <c r="G172" s="435">
        <v>500</v>
      </c>
      <c r="H172" s="435"/>
      <c r="I172" s="397"/>
      <c r="J172" s="806">
        <f t="shared" si="30"/>
        <v>500</v>
      </c>
      <c r="K172" s="435">
        <v>500</v>
      </c>
      <c r="L172" s="435"/>
      <c r="M172" s="397"/>
      <c r="N172" s="201">
        <f>SUM(O172:Q172)</f>
        <v>0</v>
      </c>
      <c r="O172" s="580">
        <v>0</v>
      </c>
      <c r="P172" s="270"/>
      <c r="Q172" s="342"/>
      <c r="R172" s="322"/>
    </row>
    <row r="173" spans="1:18" ht="13.5" customHeight="1">
      <c r="A173" s="820">
        <v>18637</v>
      </c>
      <c r="B173" s="821">
        <v>3612</v>
      </c>
      <c r="C173" s="822" t="s">
        <v>32</v>
      </c>
      <c r="D173" s="823">
        <v>10</v>
      </c>
      <c r="E173" s="824" t="s">
        <v>212</v>
      </c>
      <c r="F173" s="949">
        <f>SUM(G173:I173)</f>
        <v>2500</v>
      </c>
      <c r="G173" s="940">
        <v>2500</v>
      </c>
      <c r="H173" s="808"/>
      <c r="I173" s="809"/>
      <c r="J173" s="807">
        <f>SUM(K173:M173)</f>
        <v>2500</v>
      </c>
      <c r="K173" s="808">
        <v>2500</v>
      </c>
      <c r="L173" s="808"/>
      <c r="M173" s="809"/>
      <c r="N173" s="810">
        <f t="shared" si="28"/>
        <v>119.79</v>
      </c>
      <c r="O173" s="811">
        <v>119.79</v>
      </c>
      <c r="P173" s="640"/>
      <c r="Q173" s="812"/>
      <c r="R173" s="322"/>
    </row>
    <row r="174" spans="1:18" ht="13.5" customHeight="1" thickBot="1">
      <c r="A174" s="826">
        <v>18637</v>
      </c>
      <c r="B174" s="827">
        <v>3612</v>
      </c>
      <c r="C174" s="831" t="s">
        <v>32</v>
      </c>
      <c r="D174" s="828">
        <v>210</v>
      </c>
      <c r="E174" s="829" t="s">
        <v>212</v>
      </c>
      <c r="F174" s="950">
        <f>SUM(G174:I174)</f>
        <v>0</v>
      </c>
      <c r="G174" s="832">
        <v>0</v>
      </c>
      <c r="H174" s="814"/>
      <c r="I174" s="815"/>
      <c r="J174" s="813">
        <f>SUM(K174:M174)</f>
        <v>1200</v>
      </c>
      <c r="K174" s="832">
        <v>1200</v>
      </c>
      <c r="L174" s="814"/>
      <c r="M174" s="815"/>
      <c r="N174" s="816">
        <f>SUM(O174:Q174)</f>
        <v>0</v>
      </c>
      <c r="O174" s="942">
        <v>0</v>
      </c>
      <c r="P174" s="647"/>
      <c r="Q174" s="817"/>
      <c r="R174" s="322"/>
    </row>
    <row r="175" spans="1:18" ht="27" customHeight="1">
      <c r="A175" s="524">
        <v>18654</v>
      </c>
      <c r="B175" s="803">
        <v>3612</v>
      </c>
      <c r="C175" s="804" t="s">
        <v>32</v>
      </c>
      <c r="D175" s="819">
        <v>210</v>
      </c>
      <c r="E175" s="598" t="s">
        <v>194</v>
      </c>
      <c r="F175" s="445">
        <f>SUM(G175:I175)</f>
        <v>3500</v>
      </c>
      <c r="G175" s="555">
        <v>3500</v>
      </c>
      <c r="H175" s="555"/>
      <c r="I175" s="602"/>
      <c r="J175" s="445">
        <f aca="true" t="shared" si="33" ref="J175:J183">SUM(K175:M175)</f>
        <v>3500</v>
      </c>
      <c r="K175" s="603">
        <v>3500</v>
      </c>
      <c r="L175" s="555"/>
      <c r="M175" s="602"/>
      <c r="N175" s="805">
        <f t="shared" si="28"/>
        <v>217.8</v>
      </c>
      <c r="O175" s="556">
        <v>217.8</v>
      </c>
      <c r="P175" s="604"/>
      <c r="Q175" s="589"/>
      <c r="R175" s="329"/>
    </row>
    <row r="176" spans="1:18" ht="13.5" customHeight="1">
      <c r="A176" s="335">
        <v>18679</v>
      </c>
      <c r="B176" s="374">
        <v>3612</v>
      </c>
      <c r="C176" s="406" t="s">
        <v>32</v>
      </c>
      <c r="D176" s="461">
        <v>10</v>
      </c>
      <c r="E176" s="599" t="s">
        <v>195</v>
      </c>
      <c r="F176" s="62">
        <f>SUM(G176:I176)</f>
        <v>270</v>
      </c>
      <c r="G176" s="77">
        <v>270</v>
      </c>
      <c r="H176" s="77"/>
      <c r="I176" s="226"/>
      <c r="J176" s="62">
        <f t="shared" si="33"/>
        <v>270</v>
      </c>
      <c r="K176" s="77">
        <v>270</v>
      </c>
      <c r="L176" s="77"/>
      <c r="M176" s="226"/>
      <c r="N176" s="200">
        <f t="shared" si="28"/>
        <v>0</v>
      </c>
      <c r="O176" s="256">
        <v>0</v>
      </c>
      <c r="P176" s="260"/>
      <c r="Q176" s="275"/>
      <c r="R176" s="329"/>
    </row>
    <row r="177" spans="1:18" ht="27" customHeight="1">
      <c r="A177" s="412">
        <v>19623</v>
      </c>
      <c r="B177" s="601">
        <v>3612</v>
      </c>
      <c r="C177" s="528" t="s">
        <v>32</v>
      </c>
      <c r="D177" s="394">
        <v>10</v>
      </c>
      <c r="E177" s="403" t="s">
        <v>196</v>
      </c>
      <c r="F177" s="445">
        <f>SUM(G177:I177)</f>
        <v>1000</v>
      </c>
      <c r="G177" s="435">
        <v>1000</v>
      </c>
      <c r="H177" s="555"/>
      <c r="I177" s="432"/>
      <c r="J177" s="445">
        <f t="shared" si="33"/>
        <v>500</v>
      </c>
      <c r="K177" s="435">
        <f>1000-500</f>
        <v>500</v>
      </c>
      <c r="L177" s="555"/>
      <c r="M177" s="432"/>
      <c r="N177" s="201">
        <f t="shared" si="28"/>
        <v>0</v>
      </c>
      <c r="O177" s="556">
        <v>0</v>
      </c>
      <c r="P177" s="435"/>
      <c r="Q177" s="605"/>
      <c r="R177" s="329"/>
    </row>
    <row r="178" spans="1:18" ht="13.5" customHeight="1">
      <c r="A178" s="335">
        <v>19625</v>
      </c>
      <c r="B178" s="374">
        <v>3612</v>
      </c>
      <c r="C178" s="406" t="s">
        <v>32</v>
      </c>
      <c r="D178" s="375">
        <v>210</v>
      </c>
      <c r="E178" s="521" t="s">
        <v>197</v>
      </c>
      <c r="F178" s="62">
        <f>SUM(G178:I178)</f>
        <v>3500</v>
      </c>
      <c r="G178" s="77">
        <v>3500</v>
      </c>
      <c r="H178" s="77"/>
      <c r="I178" s="226"/>
      <c r="J178" s="62">
        <f t="shared" si="33"/>
        <v>700</v>
      </c>
      <c r="K178" s="77">
        <f>3500-2800</f>
        <v>700</v>
      </c>
      <c r="L178" s="77"/>
      <c r="M178" s="226"/>
      <c r="N178" s="200">
        <f t="shared" si="28"/>
        <v>629.2</v>
      </c>
      <c r="O178" s="256">
        <v>629.2</v>
      </c>
      <c r="P178" s="261"/>
      <c r="Q178" s="522"/>
      <c r="R178" s="329"/>
    </row>
    <row r="179" spans="1:18" ht="13.5" customHeight="1">
      <c r="A179" s="335">
        <v>19626</v>
      </c>
      <c r="B179" s="408">
        <v>3612</v>
      </c>
      <c r="C179" s="337" t="s">
        <v>32</v>
      </c>
      <c r="D179" s="338">
        <v>210</v>
      </c>
      <c r="E179" s="403" t="s">
        <v>198</v>
      </c>
      <c r="F179" s="62">
        <f>SUM(G179:I179)</f>
        <v>4000</v>
      </c>
      <c r="G179" s="262">
        <v>4000</v>
      </c>
      <c r="H179" s="262"/>
      <c r="I179" s="339"/>
      <c r="J179" s="163">
        <f t="shared" si="33"/>
        <v>950</v>
      </c>
      <c r="K179" s="262">
        <f>4000-350-2700</f>
        <v>950</v>
      </c>
      <c r="L179" s="262"/>
      <c r="M179" s="339"/>
      <c r="N179" s="200">
        <f>SUM(O179:Q179)</f>
        <v>0</v>
      </c>
      <c r="O179" s="360">
        <v>0</v>
      </c>
      <c r="P179" s="262"/>
      <c r="Q179" s="523"/>
      <c r="R179" s="329"/>
    </row>
    <row r="180" spans="1:18" ht="27" customHeight="1">
      <c r="A180" s="524">
        <v>17682</v>
      </c>
      <c r="B180" s="408">
        <v>3612</v>
      </c>
      <c r="C180" s="337" t="s">
        <v>32</v>
      </c>
      <c r="D180" s="525">
        <v>210</v>
      </c>
      <c r="E180" s="521" t="s">
        <v>199</v>
      </c>
      <c r="F180" s="163">
        <f>SUM(G180:I180)</f>
        <v>13000</v>
      </c>
      <c r="G180" s="138">
        <v>13000</v>
      </c>
      <c r="H180" s="138"/>
      <c r="I180" s="306"/>
      <c r="J180" s="163">
        <f t="shared" si="33"/>
        <v>809.5</v>
      </c>
      <c r="K180" s="262">
        <f>13000-1200-1800-190.5-9000</f>
        <v>809.5</v>
      </c>
      <c r="L180" s="138"/>
      <c r="M180" s="306"/>
      <c r="N180" s="202">
        <f t="shared" si="28"/>
        <v>408.61</v>
      </c>
      <c r="O180" s="360">
        <v>408.61</v>
      </c>
      <c r="P180" s="262"/>
      <c r="Q180" s="341"/>
      <c r="R180" s="329"/>
    </row>
    <row r="181" spans="1:18" ht="13.5" customHeight="1">
      <c r="A181" s="335">
        <v>20635</v>
      </c>
      <c r="B181" s="408">
        <v>3612</v>
      </c>
      <c r="C181" s="406" t="s">
        <v>32</v>
      </c>
      <c r="D181" s="407">
        <v>10</v>
      </c>
      <c r="E181" s="600" t="s">
        <v>200</v>
      </c>
      <c r="F181" s="163">
        <f>SUM(G181:I181)</f>
        <v>700</v>
      </c>
      <c r="G181" s="77"/>
      <c r="H181" s="77">
        <v>700</v>
      </c>
      <c r="I181" s="139"/>
      <c r="J181" s="163">
        <f t="shared" si="33"/>
        <v>700</v>
      </c>
      <c r="K181" s="77"/>
      <c r="L181" s="77">
        <v>700</v>
      </c>
      <c r="M181" s="139"/>
      <c r="N181" s="200">
        <f t="shared" si="28"/>
        <v>154.94</v>
      </c>
      <c r="O181" s="256"/>
      <c r="P181" s="261">
        <v>154.94</v>
      </c>
      <c r="Q181" s="275"/>
      <c r="R181" s="329"/>
    </row>
    <row r="182" spans="1:18" ht="13.5" customHeight="1">
      <c r="A182" s="335">
        <v>19661</v>
      </c>
      <c r="B182" s="408">
        <v>3612</v>
      </c>
      <c r="C182" s="406" t="s">
        <v>32</v>
      </c>
      <c r="D182" s="407">
        <v>210</v>
      </c>
      <c r="E182" s="521" t="s">
        <v>225</v>
      </c>
      <c r="F182" s="163">
        <f>SUM(G182:I182)</f>
        <v>0</v>
      </c>
      <c r="G182" s="77">
        <v>0</v>
      </c>
      <c r="H182" s="77"/>
      <c r="I182" s="139"/>
      <c r="J182" s="163">
        <f t="shared" si="33"/>
        <v>550</v>
      </c>
      <c r="K182" s="77">
        <v>550</v>
      </c>
      <c r="L182" s="77"/>
      <c r="M182" s="139"/>
      <c r="N182" s="200">
        <f t="shared" si="28"/>
        <v>501.4</v>
      </c>
      <c r="O182" s="256">
        <v>501.4</v>
      </c>
      <c r="P182" s="261"/>
      <c r="Q182" s="275"/>
      <c r="R182" s="329"/>
    </row>
    <row r="183" spans="1:18" ht="27" customHeight="1">
      <c r="A183" s="335">
        <v>19664</v>
      </c>
      <c r="B183" s="408">
        <v>3612</v>
      </c>
      <c r="C183" s="406" t="s">
        <v>32</v>
      </c>
      <c r="D183" s="407">
        <v>210</v>
      </c>
      <c r="E183" s="521" t="s">
        <v>237</v>
      </c>
      <c r="F183" s="163">
        <v>0</v>
      </c>
      <c r="G183" s="77"/>
      <c r="H183" s="77">
        <v>0</v>
      </c>
      <c r="I183" s="139"/>
      <c r="J183" s="163">
        <f t="shared" si="33"/>
        <v>100</v>
      </c>
      <c r="K183" s="77"/>
      <c r="L183" s="77">
        <v>100</v>
      </c>
      <c r="M183" s="139"/>
      <c r="N183" s="200">
        <f>SUM(O183:Q183)</f>
        <v>77.62</v>
      </c>
      <c r="O183" s="256"/>
      <c r="P183" s="261">
        <v>77.62</v>
      </c>
      <c r="Q183" s="275"/>
      <c r="R183" s="329"/>
    </row>
    <row r="184" spans="1:18" ht="13.5" customHeight="1">
      <c r="A184" s="755" t="s">
        <v>260</v>
      </c>
      <c r="B184" s="527">
        <v>3612</v>
      </c>
      <c r="C184" s="528" t="s">
        <v>32</v>
      </c>
      <c r="D184" s="529">
        <v>90</v>
      </c>
      <c r="E184" s="530" t="s">
        <v>261</v>
      </c>
      <c r="F184" s="445">
        <f>SUM(G184:I184)</f>
        <v>0</v>
      </c>
      <c r="G184" s="435">
        <v>0</v>
      </c>
      <c r="H184" s="435"/>
      <c r="I184" s="397"/>
      <c r="J184" s="445">
        <f>SUM(K184:M184)</f>
        <v>127.9</v>
      </c>
      <c r="K184" s="435">
        <v>127.9</v>
      </c>
      <c r="L184" s="435"/>
      <c r="M184" s="397"/>
      <c r="N184" s="201">
        <f>SUM(O184:Q184)</f>
        <v>127.9</v>
      </c>
      <c r="O184" s="580">
        <v>127.9</v>
      </c>
      <c r="P184" s="435"/>
      <c r="Q184" s="526"/>
      <c r="R184" s="329"/>
    </row>
    <row r="185" spans="1:18" ht="27" customHeight="1">
      <c r="A185" s="335">
        <v>20649</v>
      </c>
      <c r="B185" s="405">
        <v>3612</v>
      </c>
      <c r="C185" s="406" t="s">
        <v>32</v>
      </c>
      <c r="D185" s="407">
        <v>210</v>
      </c>
      <c r="E185" s="521" t="s">
        <v>272</v>
      </c>
      <c r="F185" s="62">
        <f>SUM(G185:I185)</f>
        <v>0</v>
      </c>
      <c r="G185" s="77">
        <v>0</v>
      </c>
      <c r="H185" s="77"/>
      <c r="I185" s="139"/>
      <c r="J185" s="62">
        <f>SUM(K185:M185)</f>
        <v>1000</v>
      </c>
      <c r="K185" s="261">
        <f>1800-800</f>
        <v>1000</v>
      </c>
      <c r="L185" s="77"/>
      <c r="M185" s="139"/>
      <c r="N185" s="200">
        <f>SUM(O185:Q185)</f>
        <v>0</v>
      </c>
      <c r="O185" s="256">
        <v>0</v>
      </c>
      <c r="P185" s="261"/>
      <c r="Q185" s="275"/>
      <c r="R185" s="329"/>
    </row>
    <row r="186" spans="1:18" ht="13.5" customHeight="1">
      <c r="A186" s="330">
        <v>20653</v>
      </c>
      <c r="B186" s="210">
        <v>3612</v>
      </c>
      <c r="C186" s="106" t="s">
        <v>32</v>
      </c>
      <c r="D186" s="43">
        <v>210</v>
      </c>
      <c r="E186" s="521" t="s">
        <v>279</v>
      </c>
      <c r="F186" s="209">
        <f>SUM(G186:I186)</f>
        <v>0</v>
      </c>
      <c r="G186" s="44"/>
      <c r="H186" s="44"/>
      <c r="I186" s="123">
        <v>0</v>
      </c>
      <c r="J186" s="209">
        <f>SUM(K186:M186)</f>
        <v>190.5</v>
      </c>
      <c r="K186" s="44"/>
      <c r="L186" s="44"/>
      <c r="M186" s="123">
        <v>190.5</v>
      </c>
      <c r="N186" s="200">
        <f>SUM(O186:Q186)</f>
        <v>0</v>
      </c>
      <c r="O186" s="243"/>
      <c r="P186" s="244"/>
      <c r="Q186" s="274">
        <v>0</v>
      </c>
      <c r="R186" s="329"/>
    </row>
    <row r="187" spans="1:18" ht="13.5" thickBot="1">
      <c r="A187" s="238" t="s">
        <v>24</v>
      </c>
      <c r="B187" s="239"/>
      <c r="C187" s="107"/>
      <c r="D187" s="97"/>
      <c r="E187" s="49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323"/>
    </row>
    <row r="188" spans="1:18" ht="14.25" thickBot="1" thickTop="1">
      <c r="A188" s="51"/>
      <c r="B188" s="89"/>
      <c r="C188" s="100"/>
      <c r="D188" s="90"/>
      <c r="E188" s="71" t="s">
        <v>13</v>
      </c>
      <c r="F188" s="134">
        <f aca="true" t="shared" si="34" ref="F188:F199">SUM(G188:I188)</f>
        <v>7700</v>
      </c>
      <c r="G188" s="152">
        <f>SUM(G189:G200)</f>
        <v>200</v>
      </c>
      <c r="H188" s="152">
        <f>SUM(H189:H200)</f>
        <v>400</v>
      </c>
      <c r="I188" s="152">
        <f>SUM(I189:I200)</f>
        <v>7100</v>
      </c>
      <c r="J188" s="134">
        <f aca="true" t="shared" si="35" ref="J188:J200">SUM(K188:M188)</f>
        <v>9095</v>
      </c>
      <c r="K188" s="154">
        <f>SUM(K189:K200)</f>
        <v>2750</v>
      </c>
      <c r="L188" s="154">
        <f>SUM(L189:L200)</f>
        <v>1380</v>
      </c>
      <c r="M188" s="154">
        <f>SUM(M189:M200)</f>
        <v>4965</v>
      </c>
      <c r="N188" s="169">
        <f aca="true" t="shared" si="36" ref="N188:N200">SUM(O188:Q188)</f>
        <v>4763.07</v>
      </c>
      <c r="O188" s="268">
        <f>SUM(O189:O200)</f>
        <v>1415.03</v>
      </c>
      <c r="P188" s="152">
        <f>SUM(P189:P200)</f>
        <v>0</v>
      </c>
      <c r="Q188" s="540">
        <f>SUM(Q189:Q200)</f>
        <v>3348.0399999999995</v>
      </c>
      <c r="R188" s="324">
        <f>SUM(N188/J188)</f>
        <v>0.5237020340846619</v>
      </c>
    </row>
    <row r="189" spans="1:18" ht="13.5" thickTop="1">
      <c r="A189" s="353">
        <v>20636</v>
      </c>
      <c r="B189" s="73">
        <v>6171</v>
      </c>
      <c r="C189" s="106" t="s">
        <v>46</v>
      </c>
      <c r="D189" s="180">
        <v>10</v>
      </c>
      <c r="E189" s="390" t="s">
        <v>201</v>
      </c>
      <c r="F189" s="381">
        <f t="shared" si="34"/>
        <v>1200</v>
      </c>
      <c r="G189" s="376"/>
      <c r="H189" s="376"/>
      <c r="I189" s="377">
        <v>1200</v>
      </c>
      <c r="J189" s="354">
        <f t="shared" si="35"/>
        <v>800</v>
      </c>
      <c r="K189" s="376"/>
      <c r="L189" s="376"/>
      <c r="M189" s="563">
        <f>1200-400</f>
        <v>800</v>
      </c>
      <c r="N189" s="355">
        <f t="shared" si="36"/>
        <v>514.61</v>
      </c>
      <c r="O189" s="378"/>
      <c r="P189" s="449"/>
      <c r="Q189" s="589">
        <v>514.61</v>
      </c>
      <c r="R189" s="329"/>
    </row>
    <row r="190" spans="1:18" ht="12.75">
      <c r="A190" s="409">
        <v>14631</v>
      </c>
      <c r="B190" s="181">
        <v>6171</v>
      </c>
      <c r="C190" s="106" t="s">
        <v>46</v>
      </c>
      <c r="D190" s="178">
        <v>10</v>
      </c>
      <c r="E190" s="390" t="s">
        <v>202</v>
      </c>
      <c r="F190" s="358">
        <f t="shared" si="34"/>
        <v>1400</v>
      </c>
      <c r="G190" s="410"/>
      <c r="H190" s="410"/>
      <c r="I190" s="411">
        <v>1400</v>
      </c>
      <c r="J190" s="224">
        <f t="shared" si="35"/>
        <v>1273</v>
      </c>
      <c r="K190" s="410"/>
      <c r="L190" s="410"/>
      <c r="M190" s="477">
        <f>1400-127</f>
        <v>1273</v>
      </c>
      <c r="N190" s="225">
        <f t="shared" si="36"/>
        <v>1147.98</v>
      </c>
      <c r="O190" s="359"/>
      <c r="P190" s="266"/>
      <c r="Q190" s="401">
        <v>1147.98</v>
      </c>
      <c r="R190" s="329"/>
    </row>
    <row r="191" spans="1:18" ht="12.75">
      <c r="A191" s="325">
        <v>17635</v>
      </c>
      <c r="B191" s="88">
        <v>6171</v>
      </c>
      <c r="C191" s="106" t="s">
        <v>46</v>
      </c>
      <c r="D191" s="177">
        <v>10</v>
      </c>
      <c r="E191" s="390" t="s">
        <v>203</v>
      </c>
      <c r="F191" s="120">
        <f t="shared" si="34"/>
        <v>1000</v>
      </c>
      <c r="G191" s="121"/>
      <c r="H191" s="121"/>
      <c r="I191" s="122">
        <v>1000</v>
      </c>
      <c r="J191" s="120">
        <f t="shared" si="35"/>
        <v>1000</v>
      </c>
      <c r="K191" s="121"/>
      <c r="L191" s="121"/>
      <c r="M191" s="308">
        <v>1000</v>
      </c>
      <c r="N191" s="199">
        <f t="shared" si="36"/>
        <v>908.53</v>
      </c>
      <c r="O191" s="263"/>
      <c r="P191" s="264"/>
      <c r="Q191" s="402">
        <v>908.53</v>
      </c>
      <c r="R191" s="329"/>
    </row>
    <row r="192" spans="1:18" ht="12.75">
      <c r="A192" s="325">
        <v>20637</v>
      </c>
      <c r="B192" s="88">
        <v>6171</v>
      </c>
      <c r="C192" s="106" t="s">
        <v>213</v>
      </c>
      <c r="D192" s="177">
        <v>10</v>
      </c>
      <c r="E192" s="390" t="s">
        <v>204</v>
      </c>
      <c r="F192" s="120">
        <f t="shared" si="34"/>
        <v>1500</v>
      </c>
      <c r="G192" s="121"/>
      <c r="H192" s="121"/>
      <c r="I192" s="122">
        <v>1500</v>
      </c>
      <c r="J192" s="120">
        <f t="shared" si="35"/>
        <v>200</v>
      </c>
      <c r="K192" s="121"/>
      <c r="L192" s="121"/>
      <c r="M192" s="308">
        <f>1500-1300</f>
        <v>200</v>
      </c>
      <c r="N192" s="199">
        <f t="shared" si="36"/>
        <v>86.74</v>
      </c>
      <c r="O192" s="263"/>
      <c r="P192" s="264"/>
      <c r="Q192" s="402">
        <v>86.74</v>
      </c>
      <c r="R192" s="329"/>
    </row>
    <row r="193" spans="1:18" ht="12.75">
      <c r="A193" s="325">
        <v>17631</v>
      </c>
      <c r="B193" s="88">
        <v>6171</v>
      </c>
      <c r="C193" s="106" t="s">
        <v>48</v>
      </c>
      <c r="D193" s="177">
        <v>10</v>
      </c>
      <c r="E193" s="390" t="s">
        <v>205</v>
      </c>
      <c r="F193" s="120">
        <f t="shared" si="34"/>
        <v>200</v>
      </c>
      <c r="G193" s="121">
        <v>200</v>
      </c>
      <c r="H193" s="121"/>
      <c r="I193" s="122"/>
      <c r="J193" s="120">
        <f t="shared" si="35"/>
        <v>2500</v>
      </c>
      <c r="K193" s="121">
        <f>200+2300</f>
        <v>2500</v>
      </c>
      <c r="L193" s="121"/>
      <c r="M193" s="122"/>
      <c r="N193" s="199">
        <f t="shared" si="36"/>
        <v>1415.03</v>
      </c>
      <c r="O193" s="263">
        <v>1415.03</v>
      </c>
      <c r="P193" s="264"/>
      <c r="Q193" s="402"/>
      <c r="R193" s="329"/>
    </row>
    <row r="194" spans="1:18" ht="12.75">
      <c r="A194" s="325">
        <v>20638</v>
      </c>
      <c r="B194" s="88">
        <v>6171</v>
      </c>
      <c r="C194" s="106" t="s">
        <v>48</v>
      </c>
      <c r="D194" s="177">
        <v>10</v>
      </c>
      <c r="E194" s="390" t="s">
        <v>206</v>
      </c>
      <c r="F194" s="120">
        <f t="shared" si="34"/>
        <v>400</v>
      </c>
      <c r="G194" s="121"/>
      <c r="H194" s="121">
        <v>400</v>
      </c>
      <c r="I194" s="122"/>
      <c r="J194" s="120">
        <f t="shared" si="35"/>
        <v>400</v>
      </c>
      <c r="K194" s="121"/>
      <c r="L194" s="121">
        <v>400</v>
      </c>
      <c r="M194" s="122"/>
      <c r="N194" s="199">
        <f t="shared" si="36"/>
        <v>0</v>
      </c>
      <c r="O194" s="263"/>
      <c r="P194" s="264">
        <v>0</v>
      </c>
      <c r="Q194" s="402"/>
      <c r="R194" s="329"/>
    </row>
    <row r="195" spans="1:18" ht="12.75">
      <c r="A195" s="326">
        <v>20639</v>
      </c>
      <c r="B195" s="447">
        <v>6171</v>
      </c>
      <c r="C195" s="182" t="s">
        <v>48</v>
      </c>
      <c r="D195" s="178">
        <v>10</v>
      </c>
      <c r="E195" s="390" t="s">
        <v>207</v>
      </c>
      <c r="F195" s="224">
        <f t="shared" si="34"/>
        <v>2000</v>
      </c>
      <c r="G195" s="410"/>
      <c r="H195" s="410"/>
      <c r="I195" s="411">
        <v>2000</v>
      </c>
      <c r="J195" s="224">
        <f t="shared" si="35"/>
        <v>1000</v>
      </c>
      <c r="K195" s="410"/>
      <c r="L195" s="410"/>
      <c r="M195" s="411">
        <f>2000-1000</f>
        <v>1000</v>
      </c>
      <c r="N195" s="225">
        <f t="shared" si="36"/>
        <v>0</v>
      </c>
      <c r="O195" s="359"/>
      <c r="P195" s="266"/>
      <c r="Q195" s="401">
        <v>0</v>
      </c>
      <c r="R195" s="329"/>
    </row>
    <row r="196" spans="1:18" ht="12.75">
      <c r="A196" s="325">
        <v>20640</v>
      </c>
      <c r="B196" s="88">
        <v>6171</v>
      </c>
      <c r="C196" s="233" t="s">
        <v>46</v>
      </c>
      <c r="D196" s="43">
        <v>10</v>
      </c>
      <c r="E196" s="427" t="s">
        <v>214</v>
      </c>
      <c r="F196" s="120">
        <f t="shared" si="34"/>
        <v>0</v>
      </c>
      <c r="G196" s="121">
        <v>0</v>
      </c>
      <c r="H196" s="121"/>
      <c r="I196" s="122"/>
      <c r="J196" s="120">
        <f t="shared" si="35"/>
        <v>127</v>
      </c>
      <c r="K196" s="251"/>
      <c r="L196" s="259"/>
      <c r="M196" s="308">
        <v>127</v>
      </c>
      <c r="N196" s="199">
        <f t="shared" si="36"/>
        <v>126.32</v>
      </c>
      <c r="O196" s="263"/>
      <c r="P196" s="264"/>
      <c r="Q196" s="402">
        <v>126.32</v>
      </c>
      <c r="R196" s="329"/>
    </row>
    <row r="197" spans="1:18" ht="12.75">
      <c r="A197" s="619" t="s">
        <v>217</v>
      </c>
      <c r="B197" s="612">
        <v>6171</v>
      </c>
      <c r="C197" s="613" t="s">
        <v>215</v>
      </c>
      <c r="D197" s="162">
        <v>84</v>
      </c>
      <c r="E197" s="614" t="s">
        <v>238</v>
      </c>
      <c r="F197" s="615">
        <f t="shared" si="34"/>
        <v>0</v>
      </c>
      <c r="G197" s="616">
        <v>0</v>
      </c>
      <c r="H197" s="616"/>
      <c r="I197" s="617"/>
      <c r="J197" s="615">
        <f t="shared" si="35"/>
        <v>250</v>
      </c>
      <c r="K197" s="253">
        <v>250</v>
      </c>
      <c r="L197" s="257"/>
      <c r="M197" s="618"/>
      <c r="N197" s="170">
        <f t="shared" si="36"/>
        <v>0</v>
      </c>
      <c r="O197" s="448">
        <v>0</v>
      </c>
      <c r="P197" s="448"/>
      <c r="Q197" s="590"/>
      <c r="R197" s="329"/>
    </row>
    <row r="198" spans="1:18" ht="13.5" thickBot="1">
      <c r="A198" s="900" t="s">
        <v>218</v>
      </c>
      <c r="B198" s="447">
        <v>6171</v>
      </c>
      <c r="C198" s="901" t="s">
        <v>215</v>
      </c>
      <c r="D198" s="183">
        <v>84</v>
      </c>
      <c r="E198" s="902" t="s">
        <v>216</v>
      </c>
      <c r="F198" s="224">
        <f t="shared" si="34"/>
        <v>0</v>
      </c>
      <c r="G198" s="410">
        <v>0</v>
      </c>
      <c r="H198" s="410"/>
      <c r="I198" s="411"/>
      <c r="J198" s="224">
        <f t="shared" si="35"/>
        <v>980</v>
      </c>
      <c r="K198" s="252"/>
      <c r="L198" s="270">
        <v>980</v>
      </c>
      <c r="M198" s="477"/>
      <c r="N198" s="225">
        <f t="shared" si="36"/>
        <v>0</v>
      </c>
      <c r="O198" s="359"/>
      <c r="P198" s="359">
        <v>0</v>
      </c>
      <c r="Q198" s="401"/>
      <c r="R198" s="329"/>
    </row>
    <row r="199" spans="1:18" ht="12.75">
      <c r="A199" s="903" t="s">
        <v>297</v>
      </c>
      <c r="B199" s="904">
        <v>6171</v>
      </c>
      <c r="C199" s="905" t="s">
        <v>46</v>
      </c>
      <c r="D199" s="730">
        <v>10</v>
      </c>
      <c r="E199" s="906" t="s">
        <v>276</v>
      </c>
      <c r="F199" s="907">
        <f t="shared" si="34"/>
        <v>0</v>
      </c>
      <c r="G199" s="908">
        <v>0</v>
      </c>
      <c r="H199" s="908"/>
      <c r="I199" s="909"/>
      <c r="J199" s="907">
        <f>SUM(K199:M199)</f>
        <v>402</v>
      </c>
      <c r="K199" s="701"/>
      <c r="L199" s="705"/>
      <c r="M199" s="910">
        <v>402</v>
      </c>
      <c r="N199" s="825">
        <f>SUM(O199:Q199)</f>
        <v>401.72</v>
      </c>
      <c r="O199" s="747"/>
      <c r="P199" s="747"/>
      <c r="Q199" s="943">
        <v>401.72</v>
      </c>
      <c r="R199" s="329"/>
    </row>
    <row r="200" spans="1:18" ht="13.5" thickBot="1">
      <c r="A200" s="911">
        <v>19674</v>
      </c>
      <c r="B200" s="912">
        <v>6171</v>
      </c>
      <c r="C200" s="913" t="s">
        <v>77</v>
      </c>
      <c r="D200" s="788">
        <v>210</v>
      </c>
      <c r="E200" s="914" t="s">
        <v>276</v>
      </c>
      <c r="F200" s="915">
        <f>SUM(G200:I200)</f>
        <v>0</v>
      </c>
      <c r="G200" s="916">
        <v>0</v>
      </c>
      <c r="H200" s="916"/>
      <c r="I200" s="917"/>
      <c r="J200" s="915">
        <f t="shared" si="35"/>
        <v>163</v>
      </c>
      <c r="K200" s="715"/>
      <c r="L200" s="716"/>
      <c r="M200" s="918">
        <v>163</v>
      </c>
      <c r="N200" s="830">
        <f t="shared" si="36"/>
        <v>162.14</v>
      </c>
      <c r="O200" s="875"/>
      <c r="P200" s="875"/>
      <c r="Q200" s="944">
        <v>162.14</v>
      </c>
      <c r="R200" s="329"/>
    </row>
    <row r="201" spans="1:18" ht="13.5" thickBot="1">
      <c r="A201" s="119" t="s">
        <v>23</v>
      </c>
      <c r="B201" s="237"/>
      <c r="C201" s="235"/>
      <c r="D201" s="47"/>
      <c r="E201" s="59"/>
      <c r="F201" s="124"/>
      <c r="G201" s="70"/>
      <c r="H201" s="70"/>
      <c r="I201" s="55"/>
      <c r="J201" s="67"/>
      <c r="K201" s="125"/>
      <c r="L201" s="125"/>
      <c r="M201" s="125"/>
      <c r="N201" s="74"/>
      <c r="O201" s="74"/>
      <c r="P201" s="74"/>
      <c r="Q201" s="74"/>
      <c r="R201" s="327"/>
    </row>
    <row r="202" spans="1:23" ht="14.25" thickBot="1" thickTop="1">
      <c r="A202" s="51"/>
      <c r="B202" s="93"/>
      <c r="C202" s="234"/>
      <c r="D202" s="90"/>
      <c r="E202" s="71" t="s">
        <v>14</v>
      </c>
      <c r="F202" s="134">
        <f>SUM(G202:I202)</f>
        <v>50000</v>
      </c>
      <c r="G202" s="152">
        <f>SUM(G204:G204)</f>
        <v>0</v>
      </c>
      <c r="H202" s="152">
        <f>SUM(H204:H204)</f>
        <v>0</v>
      </c>
      <c r="I202" s="152">
        <f>SUM(I203:I204)</f>
        <v>50000</v>
      </c>
      <c r="J202" s="134">
        <f>SUM(K202:M202)</f>
        <v>11716.1</v>
      </c>
      <c r="K202" s="154">
        <f>SUM(K204:K204)</f>
        <v>0</v>
      </c>
      <c r="L202" s="154">
        <f>SUM(L204:L204)</f>
        <v>0</v>
      </c>
      <c r="M202" s="154">
        <f>SUM(M203:M205)</f>
        <v>11716.1</v>
      </c>
      <c r="N202" s="203">
        <f>SUM(O202:Q202)</f>
        <v>0</v>
      </c>
      <c r="O202" s="268">
        <f>SUM(O204:O204)</f>
        <v>0</v>
      </c>
      <c r="P202" s="268">
        <f>SUM(P204:P204)</f>
        <v>0</v>
      </c>
      <c r="Q202" s="268">
        <f>SUM(Q203:Q205)</f>
        <v>0</v>
      </c>
      <c r="R202" s="324">
        <f>SUM(N202/J202)</f>
        <v>0</v>
      </c>
      <c r="W202" s="276"/>
    </row>
    <row r="203" spans="1:23" ht="13.5" thickTop="1">
      <c r="A203" s="69" t="s">
        <v>63</v>
      </c>
      <c r="B203" s="98">
        <v>6409</v>
      </c>
      <c r="C203" s="231">
        <v>1000</v>
      </c>
      <c r="D203" s="75">
        <v>10</v>
      </c>
      <c r="E203" s="76" t="s">
        <v>50</v>
      </c>
      <c r="F203" s="62">
        <f>SUM(G203:I203)</f>
        <v>29860</v>
      </c>
      <c r="G203" s="143"/>
      <c r="H203" s="143"/>
      <c r="I203" s="144">
        <v>29860</v>
      </c>
      <c r="J203" s="62">
        <f>SUM(K203:M203)</f>
        <v>0</v>
      </c>
      <c r="K203" s="143"/>
      <c r="L203" s="145"/>
      <c r="M203" s="428">
        <f>29860-200-112-50-402-29096</f>
        <v>0</v>
      </c>
      <c r="N203" s="314">
        <f>SUM(O203:Q203)</f>
        <v>0</v>
      </c>
      <c r="O203" s="254"/>
      <c r="P203" s="261"/>
      <c r="Q203" s="272">
        <v>0</v>
      </c>
      <c r="R203" s="320"/>
      <c r="W203" s="276"/>
    </row>
    <row r="204" spans="1:18" ht="12.75">
      <c r="A204" s="69" t="s">
        <v>63</v>
      </c>
      <c r="B204" s="98">
        <v>6409</v>
      </c>
      <c r="C204" s="231">
        <v>1000</v>
      </c>
      <c r="D204" s="75">
        <v>210</v>
      </c>
      <c r="E204" s="76" t="s">
        <v>50</v>
      </c>
      <c r="F204" s="62">
        <f>SUM(G204:I204)</f>
        <v>20140</v>
      </c>
      <c r="G204" s="143"/>
      <c r="H204" s="143"/>
      <c r="I204" s="144">
        <v>20140</v>
      </c>
      <c r="J204" s="62">
        <f>SUM(K204:M204)</f>
        <v>10393</v>
      </c>
      <c r="K204" s="143"/>
      <c r="L204" s="145"/>
      <c r="M204" s="428">
        <f>20140-1370-1452-1893-550-1800-150-1440-25-163-904</f>
        <v>10393</v>
      </c>
      <c r="N204" s="314">
        <f>SUM(O204:Q204)</f>
        <v>0</v>
      </c>
      <c r="O204" s="254"/>
      <c r="P204" s="261"/>
      <c r="Q204" s="272">
        <v>0</v>
      </c>
      <c r="R204" s="329"/>
    </row>
    <row r="205" spans="1:18" ht="12.75">
      <c r="A205" s="69" t="s">
        <v>63</v>
      </c>
      <c r="B205" s="98">
        <v>6409</v>
      </c>
      <c r="C205" s="231">
        <v>1000</v>
      </c>
      <c r="D205" s="75">
        <v>119</v>
      </c>
      <c r="E205" s="76" t="s">
        <v>50</v>
      </c>
      <c r="F205" s="62">
        <f>SUM(G205:I205)</f>
        <v>0</v>
      </c>
      <c r="G205" s="143"/>
      <c r="H205" s="143"/>
      <c r="I205" s="144">
        <v>0</v>
      </c>
      <c r="J205" s="62">
        <f>SUM(K205:M205)</f>
        <v>1323.1</v>
      </c>
      <c r="K205" s="143"/>
      <c r="L205" s="145"/>
      <c r="M205" s="428">
        <v>1323.1</v>
      </c>
      <c r="N205" s="314">
        <f>SUM(O205:Q205)</f>
        <v>0</v>
      </c>
      <c r="O205" s="254"/>
      <c r="P205" s="261"/>
      <c r="Q205" s="303">
        <v>0</v>
      </c>
      <c r="R205" s="849"/>
    </row>
    <row r="206" spans="1:18" ht="13.5" thickBot="1">
      <c r="A206" s="115" t="s">
        <v>22</v>
      </c>
      <c r="B206" s="78"/>
      <c r="C206" s="78"/>
      <c r="D206" s="48"/>
      <c r="E206" s="48"/>
      <c r="F206" s="129"/>
      <c r="G206" s="146"/>
      <c r="H206" s="146"/>
      <c r="I206" s="146"/>
      <c r="J206" s="74"/>
      <c r="K206" s="125"/>
      <c r="L206" s="125"/>
      <c r="M206" s="125"/>
      <c r="N206" s="278"/>
      <c r="O206" s="278"/>
      <c r="P206" s="278"/>
      <c r="Q206" s="278"/>
      <c r="R206" s="369"/>
    </row>
    <row r="207" spans="1:18" ht="13.5" thickBot="1">
      <c r="A207" s="79"/>
      <c r="B207" s="80"/>
      <c r="C207" s="80"/>
      <c r="D207" s="81"/>
      <c r="E207" s="82" t="s">
        <v>15</v>
      </c>
      <c r="F207" s="155">
        <f>SUM(G207:I207)</f>
        <v>303540</v>
      </c>
      <c r="G207" s="156">
        <f>SUM(G8+G25+G57+G62+G127+G145+G152+G159+G188+G202)</f>
        <v>237710</v>
      </c>
      <c r="H207" s="156">
        <f>SUM(H8+H25+H57+H62+H127+H145+H152+H159+H188+H202)</f>
        <v>4800</v>
      </c>
      <c r="I207" s="156">
        <f>SUM(I8+I25+I57+I62+I127+I145+I152+I159+I188+I202)</f>
        <v>61030</v>
      </c>
      <c r="J207" s="157">
        <f>SUM(K207:M207)</f>
        <v>253005.5</v>
      </c>
      <c r="K207" s="158">
        <f>SUM(K8+K25+K57+K62+K127+K145+K152+K159+K188+K202)</f>
        <v>221594.09999999998</v>
      </c>
      <c r="L207" s="159">
        <f>SUM(L8+L25+L57+L62+L127+L145+L152+L159+L188+L202)</f>
        <v>8378.1</v>
      </c>
      <c r="M207" s="160">
        <f>SUM(M8+M25+M57+M62+M127+M145+M152+M159+M188+M202)</f>
        <v>23033.300000000003</v>
      </c>
      <c r="N207" s="157">
        <f>SUM(O207:Q207)</f>
        <v>105832.78999999998</v>
      </c>
      <c r="O207" s="160">
        <f>SUM(O8+O25+O57+O62+O127+O145+O152+O159+O188+O202)</f>
        <v>94153.31999999999</v>
      </c>
      <c r="P207" s="156">
        <f>SUM(P8+P25+P57+P62+P127+P145+P152+P159+P188+P202)</f>
        <v>3380.65</v>
      </c>
      <c r="Q207" s="156">
        <f>SUM(Q8+Q25+Q57+Q62+Q127+Q145+Q152+Q159+Q188+Q202)</f>
        <v>8298.82</v>
      </c>
      <c r="R207" s="370">
        <f>SUM(N207/J207)</f>
        <v>0.4183023293960012</v>
      </c>
    </row>
    <row r="208" spans="1:18" ht="13.5" thickTop="1">
      <c r="A208" s="3"/>
      <c r="B208" s="83"/>
      <c r="C208" s="83"/>
      <c r="D208" s="84"/>
      <c r="E208" s="85"/>
      <c r="F208" s="86"/>
      <c r="G208" s="87"/>
      <c r="H208" s="87"/>
      <c r="I208" s="87"/>
      <c r="J208" s="86"/>
      <c r="K208" s="87"/>
      <c r="L208" s="87"/>
      <c r="M208" s="87"/>
      <c r="N208" s="86"/>
      <c r="O208" s="87"/>
      <c r="P208" s="87"/>
      <c r="Q208" s="87"/>
      <c r="R208" s="1"/>
    </row>
    <row r="209" spans="1:18" ht="12.75">
      <c r="A209" s="3"/>
      <c r="B209" s="83"/>
      <c r="C209" s="83"/>
      <c r="D209" s="84"/>
      <c r="E209" s="85"/>
      <c r="F209" s="86"/>
      <c r="G209" s="87"/>
      <c r="H209" s="87"/>
      <c r="I209" s="87"/>
      <c r="J209" s="86"/>
      <c r="K209" s="87"/>
      <c r="L209" s="87"/>
      <c r="M209" s="87"/>
      <c r="N209" s="86"/>
      <c r="O209" s="87"/>
      <c r="P209" s="87"/>
      <c r="Q209" s="87"/>
      <c r="R209" s="1"/>
    </row>
  </sheetData>
  <sheetProtection password="F1E0" sheet="1" formatCells="0" formatColumns="0" formatRows="0" insertColumns="0" insertRows="0" insertHyperlinks="0" deleteColumns="0" deleteRows="0" sort="0" autoFilter="0" pivotTables="0"/>
  <mergeCells count="2">
    <mergeCell ref="K4:M4"/>
    <mergeCell ref="O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Kolovratova</dc:creator>
  <cp:keywords/>
  <dc:description/>
  <cp:lastModifiedBy>Kašák Martin Bc.</cp:lastModifiedBy>
  <cp:lastPrinted>2021-01-18T14:27:05Z</cp:lastPrinted>
  <dcterms:created xsi:type="dcterms:W3CDTF">2012-06-25T08:38:58Z</dcterms:created>
  <dcterms:modified xsi:type="dcterms:W3CDTF">2021-03-01T12:35:26Z</dcterms:modified>
  <cp:category/>
  <cp:version/>
  <cp:contentType/>
  <cp:contentStatus/>
</cp:coreProperties>
</file>