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4400" yWindow="0" windowWidth="14400" windowHeight="15600" activeTab="1"/>
  </bookViews>
  <sheets>
    <sheet name="podrobne" sheetId="1" r:id="rId1"/>
    <sheet name="plnění" sheetId="3" r:id="rId2"/>
  </sheets>
  <definedNames>
    <definedName name="_xlnm.Print_Titles" localSheetId="0">podrobne!$6:$7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4" i="1" l="1"/>
  <c r="J83" i="1"/>
  <c r="K83" i="1" s="1"/>
  <c r="K84" i="1"/>
  <c r="J8" i="1"/>
  <c r="J11" i="1"/>
  <c r="K11" i="1" s="1"/>
  <c r="K7" i="1"/>
  <c r="K8" i="1"/>
  <c r="K9" i="1"/>
  <c r="J7" i="1"/>
  <c r="J9" i="1"/>
  <c r="K10" i="1"/>
  <c r="J10" i="1"/>
  <c r="C40" i="3" l="1"/>
  <c r="C41" i="3"/>
  <c r="B40" i="3"/>
  <c r="B41" i="3"/>
  <c r="E16" i="1"/>
  <c r="G99" i="1"/>
  <c r="E49" i="1"/>
  <c r="C31" i="3"/>
  <c r="C30" i="3"/>
  <c r="B30" i="3"/>
  <c r="C27" i="3"/>
  <c r="B27" i="3"/>
  <c r="F62" i="1"/>
  <c r="F92" i="1"/>
  <c r="G46" i="1"/>
  <c r="G47" i="1"/>
  <c r="D49" i="1"/>
  <c r="F49" i="1"/>
  <c r="G50" i="1"/>
  <c r="G51" i="1"/>
  <c r="D52" i="1"/>
  <c r="E52" i="1"/>
  <c r="F52" i="1"/>
  <c r="G53" i="1"/>
  <c r="D54" i="1"/>
  <c r="E54" i="1"/>
  <c r="F54" i="1"/>
  <c r="G55" i="1"/>
  <c r="G56" i="1"/>
  <c r="G57" i="1"/>
  <c r="G58" i="1"/>
  <c r="G59" i="1"/>
  <c r="D60" i="1"/>
  <c r="E60" i="1"/>
  <c r="B32" i="3" s="1"/>
  <c r="F60" i="1"/>
  <c r="C32" i="3" s="1"/>
  <c r="F63" i="1" l="1"/>
  <c r="G60" i="1"/>
  <c r="G54" i="1"/>
  <c r="G49" i="1"/>
  <c r="G52" i="1"/>
  <c r="E23" i="1"/>
  <c r="E25" i="1"/>
  <c r="E27" i="1"/>
  <c r="E79" i="1"/>
  <c r="E80" i="1" s="1"/>
  <c r="E100" i="1"/>
  <c r="E101" i="1" s="1"/>
  <c r="E96" i="1"/>
  <c r="E97" i="1" s="1"/>
  <c r="C37" i="3"/>
  <c r="C38" i="3"/>
  <c r="B38" i="3"/>
  <c r="B37" i="3"/>
  <c r="C13" i="3"/>
  <c r="B13" i="3"/>
  <c r="E20" i="1"/>
  <c r="E43" i="1"/>
  <c r="E65" i="1"/>
  <c r="E66" i="1" s="1"/>
  <c r="E71" i="1"/>
  <c r="E76" i="1"/>
  <c r="F76" i="1"/>
  <c r="G75" i="1"/>
  <c r="D76" i="1"/>
  <c r="D77" i="1" s="1"/>
  <c r="G78" i="1"/>
  <c r="F79" i="1"/>
  <c r="F80" i="1" s="1"/>
  <c r="G82" i="1"/>
  <c r="G83" i="1"/>
  <c r="G84" i="1"/>
  <c r="G85" i="1"/>
  <c r="G86" i="1"/>
  <c r="D87" i="1"/>
  <c r="D88" i="1" s="1"/>
  <c r="E87" i="1"/>
  <c r="E88" i="1" s="1"/>
  <c r="F87" i="1"/>
  <c r="F88" i="1" s="1"/>
  <c r="F90" i="1"/>
  <c r="F93" i="1" s="1"/>
  <c r="G94" i="1"/>
  <c r="B26" i="3"/>
  <c r="C26" i="3"/>
  <c r="B28" i="3"/>
  <c r="C28" i="3"/>
  <c r="B29" i="3"/>
  <c r="C29" i="3"/>
  <c r="B31" i="3"/>
  <c r="D31" i="3" s="1"/>
  <c r="E21" i="1" l="1"/>
  <c r="B11" i="3" s="1"/>
  <c r="E44" i="1"/>
  <c r="G79" i="1"/>
  <c r="G80" i="1"/>
  <c r="G88" i="1"/>
  <c r="E63" i="1"/>
  <c r="B25" i="3" s="1"/>
  <c r="E77" i="1"/>
  <c r="G76" i="1"/>
  <c r="D26" i="3"/>
  <c r="G87" i="1"/>
  <c r="D28" i="3"/>
  <c r="D30" i="3"/>
  <c r="D27" i="3"/>
  <c r="D29" i="3"/>
  <c r="F100" i="1"/>
  <c r="F101" i="1" s="1"/>
  <c r="F96" i="1"/>
  <c r="F71" i="1"/>
  <c r="F77" i="1" s="1"/>
  <c r="F65" i="1"/>
  <c r="F66" i="1" s="1"/>
  <c r="F27" i="1"/>
  <c r="F25" i="1"/>
  <c r="F16" i="1"/>
  <c r="E102" i="1"/>
  <c r="G15" i="1"/>
  <c r="D16" i="1"/>
  <c r="G17" i="1"/>
  <c r="G18" i="1"/>
  <c r="G19" i="1"/>
  <c r="D20" i="1"/>
  <c r="F20" i="1"/>
  <c r="G22" i="1"/>
  <c r="G77" i="1" l="1"/>
  <c r="E81" i="1"/>
  <c r="E103" i="1" s="1"/>
  <c r="F21" i="1"/>
  <c r="G21" i="1" s="1"/>
  <c r="D21" i="1"/>
  <c r="G20" i="1"/>
  <c r="G16" i="1"/>
  <c r="C11" i="3" l="1"/>
  <c r="B23" i="3"/>
  <c r="F43" i="1" l="1"/>
  <c r="C23" i="3" s="1"/>
  <c r="F23" i="1" l="1"/>
  <c r="F44" i="1" s="1"/>
  <c r="F97" i="1"/>
  <c r="F102" i="1" l="1"/>
  <c r="C25" i="3"/>
  <c r="D25" i="3" s="1"/>
  <c r="F81" i="1" l="1"/>
  <c r="C8" i="3"/>
  <c r="G81" i="1" l="1"/>
  <c r="F103" i="1"/>
  <c r="C34" i="3"/>
  <c r="C35" i="3" s="1"/>
  <c r="B34" i="3"/>
  <c r="B35" i="3" s="1"/>
  <c r="C33" i="3"/>
  <c r="B3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14" i="3"/>
  <c r="B14" i="3"/>
  <c r="C12" i="3"/>
  <c r="B12" i="3"/>
  <c r="B9" i="3"/>
  <c r="B8" i="3"/>
  <c r="C7" i="3"/>
  <c r="B7" i="3"/>
  <c r="D33" i="3" l="1"/>
  <c r="D11" i="3"/>
  <c r="D13" i="3"/>
  <c r="D15" i="3"/>
  <c r="D19" i="3"/>
  <c r="B6" i="3"/>
  <c r="D20" i="3"/>
  <c r="D22" i="3"/>
  <c r="D23" i="3"/>
  <c r="D35" i="3"/>
  <c r="D7" i="3"/>
  <c r="C10" i="3"/>
  <c r="D17" i="3"/>
  <c r="D32" i="3"/>
  <c r="B10" i="3"/>
  <c r="D12" i="3"/>
  <c r="D14" i="3"/>
  <c r="D21" i="3"/>
  <c r="D34" i="3"/>
  <c r="D8" i="3"/>
  <c r="D16" i="3"/>
  <c r="D18" i="3"/>
  <c r="C6" i="3"/>
  <c r="C36" i="3" l="1"/>
  <c r="C43" i="3" s="1"/>
  <c r="D10" i="3"/>
  <c r="B36" i="3"/>
  <c r="B43" i="3" s="1"/>
  <c r="D6" i="3"/>
  <c r="G8" i="1" l="1"/>
  <c r="D43" i="1" l="1"/>
  <c r="D27" i="1"/>
  <c r="D25" i="1"/>
  <c r="D23" i="1"/>
  <c r="D65" i="1"/>
  <c r="D66" i="1" s="1"/>
  <c r="D44" i="1" l="1"/>
  <c r="D63" i="1"/>
  <c r="D81" i="1" l="1"/>
  <c r="D100" i="1"/>
  <c r="D101" i="1" s="1"/>
  <c r="D102" i="1" l="1"/>
  <c r="G28" i="1" l="1"/>
  <c r="G27" i="1"/>
  <c r="G26" i="1"/>
  <c r="G102" i="1" l="1"/>
  <c r="G101" i="1"/>
  <c r="G100" i="1"/>
  <c r="G98" i="1"/>
  <c r="G97" i="1"/>
  <c r="G96" i="1"/>
  <c r="G95" i="1"/>
  <c r="G71" i="1"/>
  <c r="G70" i="1"/>
  <c r="G66" i="1"/>
  <c r="G65" i="1"/>
  <c r="G64" i="1"/>
  <c r="G63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5" i="1"/>
  <c r="G24" i="1"/>
  <c r="G23" i="1"/>
  <c r="G14" i="1"/>
  <c r="G13" i="1"/>
  <c r="G12" i="1"/>
  <c r="G11" i="1"/>
  <c r="G10" i="1"/>
  <c r="G9" i="1"/>
</calcChain>
</file>

<file path=xl/sharedStrings.xml><?xml version="1.0" encoding="utf-8"?>
<sst xmlns="http://schemas.openxmlformats.org/spreadsheetml/2006/main" count="335" uniqueCount="222">
  <si>
    <t>(v Kč)</t>
  </si>
  <si>
    <t>SU</t>
  </si>
  <si>
    <t>AU</t>
  </si>
  <si>
    <t>Text</t>
  </si>
  <si>
    <t>Rozpočet schválený</t>
  </si>
  <si>
    <t>Skutečnost</t>
  </si>
  <si>
    <t>1</t>
  </si>
  <si>
    <t>3</t>
  </si>
  <si>
    <t>501</t>
  </si>
  <si>
    <t>0301</t>
  </si>
  <si>
    <t>léky</t>
  </si>
  <si>
    <t>0302</t>
  </si>
  <si>
    <t>SZM</t>
  </si>
  <si>
    <t>0303</t>
  </si>
  <si>
    <t>jednorázové pleny</t>
  </si>
  <si>
    <t>0311</t>
  </si>
  <si>
    <t>noviny, tisk</t>
  </si>
  <si>
    <t>0320</t>
  </si>
  <si>
    <t>strava pacienti</t>
  </si>
  <si>
    <t>0330</t>
  </si>
  <si>
    <t>DKP 0,- až 3.000,-</t>
  </si>
  <si>
    <t>0341</t>
  </si>
  <si>
    <t>prádlo pro pacienty</t>
  </si>
  <si>
    <t>0350</t>
  </si>
  <si>
    <t>0360</t>
  </si>
  <si>
    <t>všeobecný materiál</t>
  </si>
  <si>
    <t>Spotřeba materiálu</t>
  </si>
  <si>
    <t>502</t>
  </si>
  <si>
    <t>elektrická energie</t>
  </si>
  <si>
    <t>0310</t>
  </si>
  <si>
    <t>plyn</t>
  </si>
  <si>
    <t>voda</t>
  </si>
  <si>
    <t>Spotřeba energie</t>
  </si>
  <si>
    <t>50</t>
  </si>
  <si>
    <t>511</t>
  </si>
  <si>
    <t>0500</t>
  </si>
  <si>
    <t>běžné opravy a údržba</t>
  </si>
  <si>
    <t>Opravy a udržování</t>
  </si>
  <si>
    <t>512</t>
  </si>
  <si>
    <t>0300</t>
  </si>
  <si>
    <t>cestovné</t>
  </si>
  <si>
    <t>Cestovné</t>
  </si>
  <si>
    <t>513</t>
  </si>
  <si>
    <t>reprezentace ředitelka</t>
  </si>
  <si>
    <t>Náklady na reprezentaci</t>
  </si>
  <si>
    <t>518</t>
  </si>
  <si>
    <t>0340</t>
  </si>
  <si>
    <t>praní prádla</t>
  </si>
  <si>
    <t>úklid budovy</t>
  </si>
  <si>
    <t>technická správa budovy</t>
  </si>
  <si>
    <t>0370</t>
  </si>
  <si>
    <t>poštovné a ceniny</t>
  </si>
  <si>
    <t>0380</t>
  </si>
  <si>
    <t>0390</t>
  </si>
  <si>
    <t>telefony a internet</t>
  </si>
  <si>
    <t>0400</t>
  </si>
  <si>
    <t>mzdová agenda</t>
  </si>
  <si>
    <t>0410</t>
  </si>
  <si>
    <t>strava zaměstnanci</t>
  </si>
  <si>
    <t>0420</t>
  </si>
  <si>
    <t>služby PC</t>
  </si>
  <si>
    <t>0430</t>
  </si>
  <si>
    <t>elektroslužby</t>
  </si>
  <si>
    <t>0440</t>
  </si>
  <si>
    <t>kontroly a revize zdravotních přístrojů</t>
  </si>
  <si>
    <t>0450</t>
  </si>
  <si>
    <t>kontroly a revize ostatní</t>
  </si>
  <si>
    <t>0460</t>
  </si>
  <si>
    <t>odvoz tuhých a toxických odpadů</t>
  </si>
  <si>
    <t>0470</t>
  </si>
  <si>
    <t>ostatní služby</t>
  </si>
  <si>
    <t>0480</t>
  </si>
  <si>
    <t>bankovní služby</t>
  </si>
  <si>
    <t>Ostatní služby</t>
  </si>
  <si>
    <t>51</t>
  </si>
  <si>
    <t>521</t>
  </si>
  <si>
    <t>hrubé mzdy zaměstnanců</t>
  </si>
  <si>
    <t>ostatní osobní náklady</t>
  </si>
  <si>
    <t>Mzdové náklady</t>
  </si>
  <si>
    <t>524</t>
  </si>
  <si>
    <t>povinné pojištění organizace na SP</t>
  </si>
  <si>
    <t>povinné pojištění organizace na ZP</t>
  </si>
  <si>
    <t>Zákonné sociální pojištění</t>
  </si>
  <si>
    <t>525</t>
  </si>
  <si>
    <t>Česká Kooperativa</t>
  </si>
  <si>
    <t>Jiné sociální pojištění</t>
  </si>
  <si>
    <t>527</t>
  </si>
  <si>
    <t>JP FKSP</t>
  </si>
  <si>
    <t>lékařské prohlídky</t>
  </si>
  <si>
    <t>školení a vzdělávání zaměstnanců</t>
  </si>
  <si>
    <t>Zákonné sociální náklady</t>
  </si>
  <si>
    <t>52</t>
  </si>
  <si>
    <t>551</t>
  </si>
  <si>
    <t>odpisy DHM</t>
  </si>
  <si>
    <t>Odpisy dlouhodobého majetku</t>
  </si>
  <si>
    <t>558</t>
  </si>
  <si>
    <t>DKP 3.000,- až 40.000,- Kč</t>
  </si>
  <si>
    <t>Náklady z drobného dlouhodobého majetku</t>
  </si>
  <si>
    <t>55</t>
  </si>
  <si>
    <t>Náklady celkem</t>
  </si>
  <si>
    <t>602</t>
  </si>
  <si>
    <t>platby od klientů na sociálních lůžkách</t>
  </si>
  <si>
    <t>přiznané dávky klientů na SL</t>
  </si>
  <si>
    <t>0600</t>
  </si>
  <si>
    <t>tržby od ZP za LDN</t>
  </si>
  <si>
    <t>0610</t>
  </si>
  <si>
    <t>tržby od ZP za sociální lůžka</t>
  </si>
  <si>
    <t>0620</t>
  </si>
  <si>
    <t>ostatní</t>
  </si>
  <si>
    <t>Výnosy z prodeje služeb</t>
  </si>
  <si>
    <t>60</t>
  </si>
  <si>
    <t>648</t>
  </si>
  <si>
    <t>Čerpání fondů</t>
  </si>
  <si>
    <t>64</t>
  </si>
  <si>
    <t>662</t>
  </si>
  <si>
    <t>úroky z účtů</t>
  </si>
  <si>
    <t>Úroky</t>
  </si>
  <si>
    <t>66</t>
  </si>
  <si>
    <t>672</t>
  </si>
  <si>
    <t>dotace zřizovatele</t>
  </si>
  <si>
    <t>dotace SL</t>
  </si>
  <si>
    <t>Výnosy vybran.místních vládních institucí z transf</t>
  </si>
  <si>
    <t>67</t>
  </si>
  <si>
    <t>Výnosy celkem</t>
  </si>
  <si>
    <t>Hospodářský výsledek</t>
  </si>
  <si>
    <t xml:space="preserve">(v tis. Kč) </t>
  </si>
  <si>
    <t>z toho: tržby od zdrav. poj. za ZL, SL</t>
  </si>
  <si>
    <t xml:space="preserve">           úroky,fondy,ost.výnosy a dotace </t>
  </si>
  <si>
    <t xml:space="preserve">                v tom:  FR, FRIM LDN</t>
  </si>
  <si>
    <t>Spotřebované nákupy</t>
  </si>
  <si>
    <t>z toho:spotřební materiál</t>
  </si>
  <si>
    <t xml:space="preserve">          strava pacienti</t>
  </si>
  <si>
    <t xml:space="preserve">          spotřeba energie</t>
  </si>
  <si>
    <t>Služby</t>
  </si>
  <si>
    <t>z toho: výkony spojů</t>
  </si>
  <si>
    <t xml:space="preserve">           praní prádla</t>
  </si>
  <si>
    <t xml:space="preserve">           úklid</t>
  </si>
  <si>
    <t xml:space="preserve">           opravy a udržování</t>
  </si>
  <si>
    <t xml:space="preserve">           cestovné</t>
  </si>
  <si>
    <t xml:space="preserve">           ostatní služby</t>
  </si>
  <si>
    <t>Osobní náklady</t>
  </si>
  <si>
    <t>z toho: platy zaměstnanců</t>
  </si>
  <si>
    <t xml:space="preserve">           ostatní osobní náklady</t>
  </si>
  <si>
    <t xml:space="preserve">           zákonné sociální pojištění</t>
  </si>
  <si>
    <t xml:space="preserve">           zákonné zdravotní pojištění</t>
  </si>
  <si>
    <t xml:space="preserve">           zákonné sociální náklady</t>
  </si>
  <si>
    <t xml:space="preserve">Daně a poplatky </t>
  </si>
  <si>
    <t>Odpisy</t>
  </si>
  <si>
    <t xml:space="preserve">           ostatní</t>
  </si>
  <si>
    <t>Výsledek po promítnutí příspěvku</t>
  </si>
  <si>
    <t>IČO: 45243956</t>
  </si>
  <si>
    <t>Název: Léčebna dlouhodobě nemocných v Praze 6</t>
  </si>
  <si>
    <t>skutečnost</t>
  </si>
  <si>
    <t>index</t>
  </si>
  <si>
    <t>plnění v %</t>
  </si>
  <si>
    <t>OOPP zaměstnanci</t>
  </si>
  <si>
    <t>591</t>
  </si>
  <si>
    <t>daně z příjmů hl.čin.</t>
  </si>
  <si>
    <t>Daň z příjmů</t>
  </si>
  <si>
    <t>59</t>
  </si>
  <si>
    <t>649</t>
  </si>
  <si>
    <t>bezúplatně přijaté zásoby, DDHM,...</t>
  </si>
  <si>
    <t>Ostatní výnosy z činnosti</t>
  </si>
  <si>
    <t>poradenství</t>
  </si>
  <si>
    <t>538</t>
  </si>
  <si>
    <t>poplatky TV</t>
  </si>
  <si>
    <t>Jiné daně a poplatky</t>
  </si>
  <si>
    <t>53</t>
  </si>
  <si>
    <t>sl3 / sl2</t>
  </si>
  <si>
    <t>DPN z OON</t>
  </si>
  <si>
    <t xml:space="preserve"> </t>
  </si>
  <si>
    <t>Rozpočet po úpravách</t>
  </si>
  <si>
    <t>agregované výkony</t>
  </si>
  <si>
    <t>542</t>
  </si>
  <si>
    <t>Jiné pokuty a penále</t>
  </si>
  <si>
    <t>54</t>
  </si>
  <si>
    <t xml:space="preserve">    </t>
  </si>
  <si>
    <t>rozpočet</t>
  </si>
  <si>
    <t xml:space="preserve">           léky, SZM, pleny</t>
  </si>
  <si>
    <t>Náklady z vyřazených pohledávek</t>
  </si>
  <si>
    <t>557</t>
  </si>
  <si>
    <t>náklady z vyřazených pohledávek</t>
  </si>
  <si>
    <t>úroky z termín. Vkladů</t>
  </si>
  <si>
    <t>% čerpání</t>
  </si>
  <si>
    <t>Vypracovala Ing. Monika Havránková</t>
  </si>
  <si>
    <t>-</t>
  </si>
  <si>
    <t xml:space="preserve">           DPN hrazená LDN</t>
  </si>
  <si>
    <t xml:space="preserve">           jiné sociální pojištění</t>
  </si>
  <si>
    <t>z toho: použití FI (údržba,invest.)</t>
  </si>
  <si>
    <t>schvál.úpr.</t>
  </si>
  <si>
    <t>Schvál./Použitý neinvest. příspěvek ÚMČ P-6</t>
  </si>
  <si>
    <t>Schvál./Použitý neinvest. příspěvek SL (MHMP)</t>
  </si>
  <si>
    <t>drobný nehmot. majetek</t>
  </si>
  <si>
    <t xml:space="preserve">          drobný majetek celkem</t>
  </si>
  <si>
    <t>0412</t>
  </si>
  <si>
    <t>nákup majetku z FKSP</t>
  </si>
  <si>
    <t>Převod z neinvest. příspěvku na investiční</t>
  </si>
  <si>
    <t>0309</t>
  </si>
  <si>
    <t>DPN zamměstnanci</t>
  </si>
  <si>
    <t>0319</t>
  </si>
  <si>
    <t>528</t>
  </si>
  <si>
    <t>náhrady pracov. úraz</t>
  </si>
  <si>
    <t>Jiné sociální náklady</t>
  </si>
  <si>
    <t>ROZBOR NÁKLADŮ A VÝNOSŮ pro účely finančního plánu LDN k 31.12.2025</t>
  </si>
  <si>
    <t>Plnění finančního plánu LDN Praha 6 k 31.12.2025</t>
  </si>
  <si>
    <t>Praha, dne  27.1.2026</t>
  </si>
  <si>
    <t>k 31.12.2025</t>
  </si>
  <si>
    <t>Invesiční příspěvek</t>
  </si>
  <si>
    <t>Ponechání části invest. dotace</t>
  </si>
  <si>
    <t>k 31.12.2024</t>
  </si>
  <si>
    <r>
      <t xml:space="preserve">         </t>
    </r>
    <r>
      <rPr>
        <i/>
        <sz val="9"/>
        <rFont val="Arial CE"/>
        <charset val="238"/>
      </rPr>
      <t xml:space="preserve">  rekonstrukce HM</t>
    </r>
  </si>
  <si>
    <t>Náklady</t>
  </si>
  <si>
    <t>spotřební materiál</t>
  </si>
  <si>
    <t>léky, SZM, pleny</t>
  </si>
  <si>
    <t>spotřeba energie</t>
  </si>
  <si>
    <t>zaokr.</t>
  </si>
  <si>
    <t>drobný majetek celkem</t>
  </si>
  <si>
    <t>sedí s plněním?</t>
  </si>
  <si>
    <t>ano</t>
  </si>
  <si>
    <t>Výnosy</t>
  </si>
  <si>
    <t>tržby od zdrav. poj. za ZL, SL</t>
  </si>
  <si>
    <t>úroky, fondy, ost. Výnosy a dotace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</si>
</sst>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-;[Red]#,##0.00\-"/>
    <numFmt numFmtId="165" formatCode="#,##0.00_ ;[Red]\-#,##0.00\ "/>
  </numFmts>
  <fonts count="28" x14ac:knownFonts="1">
    <font>
      <sz val="11"/>
      <color theme="1"/>
      <name val="Calibri"/>
      <family val="2"/>
      <scheme val="minor"/>
    </font>
    <font>
      <b/>
      <i/>
      <sz val="12"/>
      <name val="Arial CE"/>
      <family val="2"/>
      <charset val="238"/>
    </font>
    <font>
      <sz val="8"/>
      <name val="Arial CE"/>
      <family val="2"/>
      <charset val="238"/>
    </font>
    <font>
      <sz val="10"/>
      <name val="Arial CE"/>
      <charset val="238"/>
    </font>
    <font>
      <sz val="9"/>
      <color rgb="FF000000"/>
      <name val="Arial"/>
      <family val="2"/>
      <charset val="238"/>
    </font>
    <font>
      <b/>
      <i/>
      <u/>
      <sz val="15"/>
      <name val="Arial CE"/>
      <charset val="238"/>
    </font>
    <font>
      <sz val="9"/>
      <name val="Arial"/>
      <family val="2"/>
    </font>
    <font>
      <b/>
      <sz val="9"/>
      <name val="Arial"/>
      <family val="2"/>
    </font>
    <font>
      <sz val="9"/>
      <color theme="1"/>
      <name val="Calibri"/>
      <family val="2"/>
      <scheme val="minor"/>
    </font>
    <font>
      <sz val="9"/>
      <name val="Times New Roman"/>
      <family val="1"/>
    </font>
    <font>
      <i/>
      <sz val="9"/>
      <name val="Arial"/>
      <family val="2"/>
    </font>
    <font>
      <b/>
      <sz val="9"/>
      <color rgb="FF00000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1"/>
      <name val="Calibri"/>
      <family val="2"/>
      <scheme val="minor"/>
    </font>
    <font>
      <b/>
      <sz val="12.5"/>
      <name val="Arial"/>
      <family val="2"/>
    </font>
    <font>
      <sz val="12.5"/>
      <name val="Arial"/>
      <family val="2"/>
    </font>
    <font>
      <sz val="12.5"/>
      <color theme="1"/>
      <name val="Calibri"/>
      <family val="2"/>
      <scheme val="minor"/>
    </font>
    <font>
      <sz val="9"/>
      <name val="Arial CE"/>
      <charset val="238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sz val="8.9499999999999993"/>
      <name val="Arial"/>
      <family val="2"/>
    </font>
    <font>
      <b/>
      <sz val="8.9499999999999993"/>
      <name val="Arial"/>
      <family val="2"/>
    </font>
    <font>
      <b/>
      <i/>
      <sz val="9"/>
      <name val="Arial CE"/>
      <family val="2"/>
      <charset val="238"/>
    </font>
    <font>
      <b/>
      <i/>
      <sz val="9"/>
      <name val="Arial CE"/>
      <charset val="238"/>
    </font>
    <font>
      <i/>
      <sz val="9"/>
      <name val="Arial CE"/>
      <family val="2"/>
      <charset val="238"/>
    </font>
    <font>
      <i/>
      <sz val="9"/>
      <name val="Arial CE"/>
      <charset val="238"/>
    </font>
    <font>
      <b/>
      <i/>
      <sz val="9"/>
      <color theme="1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rgb="FFD4D4D4"/>
      </patternFill>
    </fill>
    <fill>
      <patternFill patternType="solid">
        <fgColor rgb="FFC4C4C4"/>
      </patternFill>
    </fill>
    <fill>
      <patternFill patternType="solid">
        <fgColor rgb="FFE4E4E4"/>
        <bgColor indexed="64"/>
      </patternFill>
    </fill>
    <fill>
      <patternFill patternType="solid">
        <fgColor rgb="FFC4C4C4"/>
        <bgColor indexed="64"/>
      </patternFill>
    </fill>
    <fill>
      <patternFill patternType="solid">
        <fgColor rgb="FFD4D4D4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theme="5" tint="0.39997558519241921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tted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/>
      <top style="dotted">
        <color rgb="FF000000"/>
      </top>
      <bottom style="medium">
        <color rgb="FF000000"/>
      </bottom>
      <diagonal/>
    </border>
    <border>
      <left/>
      <right/>
      <top style="dotted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dotted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tted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173">
    <xf numFmtId="0" fontId="0" fillId="0" borderId="0" xfId="0"/>
    <xf numFmtId="2" fontId="0" fillId="0" borderId="0" xfId="0" applyNumberFormat="1"/>
    <xf numFmtId="0" fontId="1" fillId="0" borderId="0" xfId="0" applyFont="1"/>
    <xf numFmtId="0" fontId="2" fillId="0" borderId="0" xfId="0" applyFont="1"/>
    <xf numFmtId="0" fontId="0" fillId="0" borderId="4" xfId="0" applyBorder="1"/>
    <xf numFmtId="3" fontId="0" fillId="0" borderId="0" xfId="0" applyNumberFormat="1"/>
    <xf numFmtId="4" fontId="0" fillId="0" borderId="0" xfId="0" applyNumberFormat="1"/>
    <xf numFmtId="0" fontId="3" fillId="0" borderId="0" xfId="0" applyFont="1"/>
    <xf numFmtId="164" fontId="4" fillId="6" borderId="19" xfId="0" applyNumberFormat="1" applyFont="1" applyFill="1" applyBorder="1" applyAlignment="1">
      <alignment horizontal="right"/>
    </xf>
    <xf numFmtId="164" fontId="4" fillId="5" borderId="21" xfId="0" applyNumberFormat="1" applyFont="1" applyFill="1" applyBorder="1" applyAlignment="1">
      <alignment horizontal="right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left" vertical="top"/>
    </xf>
    <xf numFmtId="4" fontId="7" fillId="0" borderId="0" xfId="0" applyNumberFormat="1" applyFont="1" applyAlignment="1">
      <alignment horizontal="left" vertical="top"/>
    </xf>
    <xf numFmtId="2" fontId="7" fillId="0" borderId="0" xfId="0" applyNumberFormat="1" applyFont="1" applyAlignment="1">
      <alignment horizontal="left" vertical="top"/>
    </xf>
    <xf numFmtId="0" fontId="8" fillId="0" borderId="0" xfId="0" applyFont="1"/>
    <xf numFmtId="2" fontId="9" fillId="0" borderId="2" xfId="0" applyNumberFormat="1" applyFont="1" applyBorder="1" applyAlignment="1">
      <alignment horizontal="left" vertical="top"/>
    </xf>
    <xf numFmtId="4" fontId="9" fillId="0" borderId="2" xfId="0" applyNumberFormat="1" applyFont="1" applyBorder="1" applyAlignment="1">
      <alignment horizontal="left" vertical="top"/>
    </xf>
    <xf numFmtId="2" fontId="10" fillId="0" borderId="2" xfId="0" applyNumberFormat="1" applyFont="1" applyBorder="1" applyAlignment="1">
      <alignment horizontal="left" vertical="top"/>
    </xf>
    <xf numFmtId="4" fontId="10" fillId="0" borderId="2" xfId="0" applyNumberFormat="1" applyFont="1" applyBorder="1" applyAlignment="1">
      <alignment horizontal="right" vertical="top"/>
    </xf>
    <xf numFmtId="2" fontId="10" fillId="0" borderId="2" xfId="0" applyNumberFormat="1" applyFont="1" applyBorder="1" applyAlignment="1">
      <alignment horizontal="right" vertical="top"/>
    </xf>
    <xf numFmtId="2" fontId="10" fillId="0" borderId="0" xfId="0" applyNumberFormat="1" applyFont="1" applyAlignment="1">
      <alignment horizontal="left" vertical="top"/>
    </xf>
    <xf numFmtId="4" fontId="10" fillId="0" borderId="0" xfId="0" applyNumberFormat="1" applyFont="1" applyAlignment="1">
      <alignment horizontal="right" vertical="top"/>
    </xf>
    <xf numFmtId="49" fontId="10" fillId="0" borderId="0" xfId="0" applyNumberFormat="1" applyFont="1" applyAlignment="1">
      <alignment horizontal="right" vertical="top"/>
    </xf>
    <xf numFmtId="2" fontId="10" fillId="0" borderId="0" xfId="0" applyNumberFormat="1" applyFont="1" applyAlignment="1">
      <alignment horizontal="right" vertical="top"/>
    </xf>
    <xf numFmtId="2" fontId="6" fillId="0" borderId="3" xfId="0" applyNumberFormat="1" applyFont="1" applyBorder="1" applyAlignment="1">
      <alignment horizontal="left" vertical="top"/>
    </xf>
    <xf numFmtId="2" fontId="7" fillId="0" borderId="3" xfId="0" applyNumberFormat="1" applyFont="1" applyBorder="1" applyAlignment="1">
      <alignment horizontal="left" vertical="top"/>
    </xf>
    <xf numFmtId="4" fontId="6" fillId="0" borderId="3" xfId="0" applyNumberFormat="1" applyFont="1" applyBorder="1" applyAlignment="1">
      <alignment horizontal="right" vertical="top"/>
    </xf>
    <xf numFmtId="164" fontId="4" fillId="0" borderId="20" xfId="0" applyNumberFormat="1" applyFont="1" applyBorder="1" applyAlignment="1">
      <alignment horizontal="right" vertical="top"/>
    </xf>
    <xf numFmtId="10" fontId="6" fillId="0" borderId="3" xfId="0" applyNumberFormat="1" applyFont="1" applyBorder="1" applyAlignment="1">
      <alignment horizontal="right"/>
    </xf>
    <xf numFmtId="164" fontId="4" fillId="0" borderId="19" xfId="0" applyNumberFormat="1" applyFont="1" applyBorder="1" applyAlignment="1">
      <alignment horizontal="right" vertical="top"/>
    </xf>
    <xf numFmtId="2" fontId="7" fillId="2" borderId="3" xfId="0" applyNumberFormat="1" applyFont="1" applyFill="1" applyBorder="1" applyAlignment="1">
      <alignment horizontal="left" vertical="top"/>
    </xf>
    <xf numFmtId="2" fontId="6" fillId="2" borderId="3" xfId="0" applyNumberFormat="1" applyFont="1" applyFill="1" applyBorder="1" applyAlignment="1">
      <alignment horizontal="left" vertical="top"/>
    </xf>
    <xf numFmtId="164" fontId="4" fillId="5" borderId="19" xfId="0" applyNumberFormat="1" applyFont="1" applyFill="1" applyBorder="1" applyAlignment="1">
      <alignment horizontal="right" vertical="top"/>
    </xf>
    <xf numFmtId="10" fontId="6" fillId="2" borderId="3" xfId="0" applyNumberFormat="1" applyFont="1" applyFill="1" applyBorder="1" applyAlignment="1">
      <alignment horizontal="right"/>
    </xf>
    <xf numFmtId="164" fontId="4" fillId="6" borderId="19" xfId="0" applyNumberFormat="1" applyFont="1" applyFill="1" applyBorder="1" applyAlignment="1">
      <alignment horizontal="right" vertical="top"/>
    </xf>
    <xf numFmtId="2" fontId="7" fillId="3" borderId="1" xfId="0" applyNumberFormat="1" applyFont="1" applyFill="1" applyBorder="1" applyAlignment="1">
      <alignment horizontal="left" vertical="top"/>
    </xf>
    <xf numFmtId="2" fontId="6" fillId="3" borderId="1" xfId="0" applyNumberFormat="1" applyFont="1" applyFill="1" applyBorder="1" applyAlignment="1">
      <alignment horizontal="left" vertical="top"/>
    </xf>
    <xf numFmtId="164" fontId="4" fillId="5" borderId="22" xfId="0" applyNumberFormat="1" applyFont="1" applyFill="1" applyBorder="1" applyAlignment="1">
      <alignment horizontal="right" vertical="top"/>
    </xf>
    <xf numFmtId="10" fontId="6" fillId="3" borderId="1" xfId="0" applyNumberFormat="1" applyFont="1" applyFill="1" applyBorder="1" applyAlignment="1">
      <alignment horizontal="right"/>
    </xf>
    <xf numFmtId="49" fontId="4" fillId="0" borderId="23" xfId="0" applyNumberFormat="1" applyFont="1" applyBorder="1" applyAlignment="1">
      <alignment horizontal="left" vertical="top"/>
    </xf>
    <xf numFmtId="164" fontId="4" fillId="0" borderId="23" xfId="0" applyNumberFormat="1" applyFont="1" applyBorder="1" applyAlignment="1">
      <alignment horizontal="right" vertical="top"/>
    </xf>
    <xf numFmtId="49" fontId="11" fillId="9" borderId="19" xfId="0" applyNumberFormat="1" applyFont="1" applyFill="1" applyBorder="1" applyAlignment="1">
      <alignment horizontal="left" vertical="top"/>
    </xf>
    <xf numFmtId="49" fontId="4" fillId="9" borderId="19" xfId="0" applyNumberFormat="1" applyFont="1" applyFill="1" applyBorder="1" applyAlignment="1">
      <alignment horizontal="left" vertical="top"/>
    </xf>
    <xf numFmtId="164" fontId="4" fillId="9" borderId="19" xfId="0" applyNumberFormat="1" applyFont="1" applyFill="1" applyBorder="1" applyAlignment="1">
      <alignment horizontal="right" vertical="top"/>
    </xf>
    <xf numFmtId="10" fontId="6" fillId="9" borderId="3" xfId="0" applyNumberFormat="1" applyFont="1" applyFill="1" applyBorder="1" applyAlignment="1">
      <alignment horizontal="right"/>
    </xf>
    <xf numFmtId="49" fontId="4" fillId="0" borderId="19" xfId="0" applyNumberFormat="1" applyFont="1" applyBorder="1" applyAlignment="1">
      <alignment horizontal="left" vertical="top"/>
    </xf>
    <xf numFmtId="49" fontId="11" fillId="0" borderId="19" xfId="0" applyNumberFormat="1" applyFont="1" applyBorder="1" applyAlignment="1">
      <alignment horizontal="left" vertical="top"/>
    </xf>
    <xf numFmtId="49" fontId="11" fillId="4" borderId="19" xfId="0" applyNumberFormat="1" applyFont="1" applyFill="1" applyBorder="1" applyAlignment="1">
      <alignment horizontal="left" vertical="top"/>
    </xf>
    <xf numFmtId="49" fontId="4" fillId="4" borderId="19" xfId="0" applyNumberFormat="1" applyFont="1" applyFill="1" applyBorder="1" applyAlignment="1">
      <alignment horizontal="left" vertical="top"/>
    </xf>
    <xf numFmtId="164" fontId="4" fillId="4" borderId="19" xfId="0" applyNumberFormat="1" applyFont="1" applyFill="1" applyBorder="1" applyAlignment="1">
      <alignment horizontal="right" vertical="top"/>
    </xf>
    <xf numFmtId="10" fontId="6" fillId="8" borderId="3" xfId="0" applyNumberFormat="1" applyFont="1" applyFill="1" applyBorder="1" applyAlignment="1">
      <alignment horizontal="right"/>
    </xf>
    <xf numFmtId="49" fontId="11" fillId="6" borderId="19" xfId="0" applyNumberFormat="1" applyFont="1" applyFill="1" applyBorder="1" applyAlignment="1">
      <alignment horizontal="left" vertical="top"/>
    </xf>
    <xf numFmtId="49" fontId="4" fillId="6" borderId="19" xfId="0" applyNumberFormat="1" applyFont="1" applyFill="1" applyBorder="1" applyAlignment="1">
      <alignment horizontal="left" vertical="top"/>
    </xf>
    <xf numFmtId="49" fontId="11" fillId="5" borderId="21" xfId="0" applyNumberFormat="1" applyFont="1" applyFill="1" applyBorder="1" applyAlignment="1">
      <alignment horizontal="left" vertical="top"/>
    </xf>
    <xf numFmtId="49" fontId="4" fillId="5" borderId="21" xfId="0" applyNumberFormat="1" applyFont="1" applyFill="1" applyBorder="1" applyAlignment="1">
      <alignment horizontal="left" vertical="top"/>
    </xf>
    <xf numFmtId="164" fontId="4" fillId="5" borderId="21" xfId="0" applyNumberFormat="1" applyFont="1" applyFill="1" applyBorder="1" applyAlignment="1">
      <alignment horizontal="right" vertical="top"/>
    </xf>
    <xf numFmtId="10" fontId="6" fillId="3" borderId="26" xfId="0" applyNumberFormat="1" applyFont="1" applyFill="1" applyBorder="1" applyAlignment="1">
      <alignment horizontal="right"/>
    </xf>
    <xf numFmtId="164" fontId="6" fillId="0" borderId="0" xfId="0" applyNumberFormat="1" applyFont="1" applyAlignment="1">
      <alignment horizontal="right" vertical="top"/>
    </xf>
    <xf numFmtId="10" fontId="6" fillId="0" borderId="27" xfId="0" applyNumberFormat="1" applyFont="1" applyBorder="1" applyAlignment="1">
      <alignment horizontal="right"/>
    </xf>
    <xf numFmtId="10" fontId="12" fillId="0" borderId="23" xfId="0" applyNumberFormat="1" applyFont="1" applyBorder="1" applyAlignment="1">
      <alignment horizontal="right"/>
    </xf>
    <xf numFmtId="10" fontId="12" fillId="6" borderId="19" xfId="0" applyNumberFormat="1" applyFont="1" applyFill="1" applyBorder="1" applyAlignment="1">
      <alignment horizontal="right"/>
    </xf>
    <xf numFmtId="10" fontId="12" fillId="5" borderId="21" xfId="0" applyNumberFormat="1" applyFont="1" applyFill="1" applyBorder="1" applyAlignment="1">
      <alignment horizontal="right"/>
    </xf>
    <xf numFmtId="10" fontId="4" fillId="0" borderId="23" xfId="0" applyNumberFormat="1" applyFont="1" applyBorder="1" applyAlignment="1">
      <alignment horizontal="right"/>
    </xf>
    <xf numFmtId="10" fontId="4" fillId="6" borderId="19" xfId="0" applyNumberFormat="1" applyFont="1" applyFill="1" applyBorder="1" applyAlignment="1">
      <alignment horizontal="right"/>
    </xf>
    <xf numFmtId="0" fontId="6" fillId="0" borderId="3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10" fontId="4" fillId="0" borderId="20" xfId="0" applyNumberFormat="1" applyFont="1" applyBorder="1" applyAlignment="1">
      <alignment horizontal="right"/>
    </xf>
    <xf numFmtId="0" fontId="7" fillId="2" borderId="3" xfId="0" applyFont="1" applyFill="1" applyBorder="1" applyAlignment="1">
      <alignment horizontal="left" vertical="top"/>
    </xf>
    <xf numFmtId="0" fontId="6" fillId="2" borderId="3" xfId="0" applyFont="1" applyFill="1" applyBorder="1" applyAlignment="1">
      <alignment horizontal="left" vertical="top"/>
    </xf>
    <xf numFmtId="10" fontId="4" fillId="0" borderId="19" xfId="0" applyNumberFormat="1" applyFont="1" applyBorder="1" applyAlignment="1">
      <alignment horizontal="right"/>
    </xf>
    <xf numFmtId="10" fontId="4" fillId="5" borderId="21" xfId="0" applyNumberFormat="1" applyFont="1" applyFill="1" applyBorder="1" applyAlignment="1">
      <alignment horizontal="right"/>
    </xf>
    <xf numFmtId="4" fontId="6" fillId="2" borderId="3" xfId="0" applyNumberFormat="1" applyFont="1" applyFill="1" applyBorder="1" applyAlignment="1">
      <alignment horizontal="right" vertical="top"/>
    </xf>
    <xf numFmtId="2" fontId="7" fillId="3" borderId="0" xfId="0" applyNumberFormat="1" applyFont="1" applyFill="1" applyAlignment="1">
      <alignment horizontal="left" vertical="top"/>
    </xf>
    <xf numFmtId="2" fontId="6" fillId="3" borderId="0" xfId="0" applyNumberFormat="1" applyFont="1" applyFill="1" applyAlignment="1">
      <alignment horizontal="left" vertical="top"/>
    </xf>
    <xf numFmtId="4" fontId="6" fillId="3" borderId="1" xfId="0" applyNumberFormat="1" applyFont="1" applyFill="1" applyBorder="1" applyAlignment="1">
      <alignment horizontal="right" vertical="top"/>
    </xf>
    <xf numFmtId="10" fontId="6" fillId="3" borderId="0" xfId="0" applyNumberFormat="1" applyFont="1" applyFill="1" applyAlignment="1">
      <alignment horizontal="right"/>
    </xf>
    <xf numFmtId="2" fontId="7" fillId="3" borderId="25" xfId="0" applyNumberFormat="1" applyFont="1" applyFill="1" applyBorder="1" applyAlignment="1">
      <alignment horizontal="left" vertical="top"/>
    </xf>
    <xf numFmtId="164" fontId="11" fillId="5" borderId="24" xfId="0" applyNumberFormat="1" applyFont="1" applyFill="1" applyBorder="1" applyAlignment="1">
      <alignment horizontal="right" vertical="top"/>
    </xf>
    <xf numFmtId="10" fontId="7" fillId="3" borderId="25" xfId="0" applyNumberFormat="1" applyFont="1" applyFill="1" applyBorder="1" applyAlignment="1">
      <alignment horizontal="right" vertical="center"/>
    </xf>
    <xf numFmtId="49" fontId="4" fillId="0" borderId="20" xfId="0" applyNumberFormat="1" applyFont="1" applyBorder="1" applyAlignment="1">
      <alignment horizontal="left" vertical="top"/>
    </xf>
    <xf numFmtId="10" fontId="12" fillId="0" borderId="19" xfId="0" applyNumberFormat="1" applyFont="1" applyBorder="1" applyAlignment="1">
      <alignment horizontal="right"/>
    </xf>
    <xf numFmtId="49" fontId="11" fillId="5" borderId="24" xfId="0" applyNumberFormat="1" applyFont="1" applyFill="1" applyBorder="1" applyAlignment="1">
      <alignment horizontal="left" vertical="top"/>
    </xf>
    <xf numFmtId="164" fontId="11" fillId="5" borderId="24" xfId="0" applyNumberFormat="1" applyFont="1" applyFill="1" applyBorder="1" applyAlignment="1">
      <alignment horizontal="right" vertical="center"/>
    </xf>
    <xf numFmtId="10" fontId="11" fillId="5" borderId="24" xfId="0" applyNumberFormat="1" applyFont="1" applyFill="1" applyBorder="1" applyAlignment="1">
      <alignment horizontal="right" vertical="center"/>
    </xf>
    <xf numFmtId="49" fontId="11" fillId="7" borderId="24" xfId="0" applyNumberFormat="1" applyFont="1" applyFill="1" applyBorder="1" applyAlignment="1">
      <alignment horizontal="right" vertical="center"/>
    </xf>
    <xf numFmtId="49" fontId="13" fillId="0" borderId="20" xfId="0" applyNumberFormat="1" applyFont="1" applyBorder="1" applyAlignment="1">
      <alignment horizontal="left" vertical="top"/>
    </xf>
    <xf numFmtId="49" fontId="12" fillId="9" borderId="19" xfId="0" applyNumberFormat="1" applyFont="1" applyFill="1" applyBorder="1" applyAlignment="1">
      <alignment horizontal="left" vertical="top"/>
    </xf>
    <xf numFmtId="49" fontId="13" fillId="0" borderId="19" xfId="0" applyNumberFormat="1" applyFont="1" applyBorder="1" applyAlignment="1">
      <alignment horizontal="left" vertical="top"/>
    </xf>
    <xf numFmtId="49" fontId="12" fillId="4" borderId="19" xfId="0" applyNumberFormat="1" applyFont="1" applyFill="1" applyBorder="1" applyAlignment="1">
      <alignment horizontal="left" vertical="top"/>
    </xf>
    <xf numFmtId="49" fontId="12" fillId="0" borderId="19" xfId="0" applyNumberFormat="1" applyFont="1" applyBorder="1" applyAlignment="1">
      <alignment horizontal="left" vertical="top"/>
    </xf>
    <xf numFmtId="49" fontId="12" fillId="6" borderId="19" xfId="0" applyNumberFormat="1" applyFont="1" applyFill="1" applyBorder="1" applyAlignment="1">
      <alignment horizontal="left" vertical="top"/>
    </xf>
    <xf numFmtId="49" fontId="12" fillId="5" borderId="21" xfId="0" applyNumberFormat="1" applyFont="1" applyFill="1" applyBorder="1" applyAlignment="1">
      <alignment horizontal="left" vertical="top"/>
    </xf>
    <xf numFmtId="49" fontId="13" fillId="0" borderId="23" xfId="0" applyNumberFormat="1" applyFont="1" applyBorder="1" applyAlignment="1">
      <alignment horizontal="left" vertical="top"/>
    </xf>
    <xf numFmtId="49" fontId="13" fillId="5" borderId="24" xfId="0" applyNumberFormat="1" applyFont="1" applyFill="1" applyBorder="1" applyAlignment="1">
      <alignment horizontal="left" vertical="top"/>
    </xf>
    <xf numFmtId="2" fontId="14" fillId="0" borderId="0" xfId="0" applyNumberFormat="1" applyFont="1"/>
    <xf numFmtId="0" fontId="15" fillId="0" borderId="0" xfId="0" applyFont="1" applyAlignment="1">
      <alignment horizontal="left"/>
    </xf>
    <xf numFmtId="2" fontId="16" fillId="0" borderId="0" xfId="0" applyNumberFormat="1" applyFont="1" applyAlignment="1">
      <alignment horizontal="left" vertical="top"/>
    </xf>
    <xf numFmtId="4" fontId="15" fillId="0" borderId="0" xfId="0" applyNumberFormat="1" applyFont="1" applyAlignment="1">
      <alignment horizontal="left" vertical="top"/>
    </xf>
    <xf numFmtId="2" fontId="15" fillId="0" borderId="0" xfId="0" applyNumberFormat="1" applyFont="1" applyAlignment="1">
      <alignment horizontal="left" vertical="top"/>
    </xf>
    <xf numFmtId="0" fontId="17" fillId="0" borderId="0" xfId="0" applyFont="1"/>
    <xf numFmtId="0" fontId="18" fillId="0" borderId="0" xfId="0" applyFont="1"/>
    <xf numFmtId="2" fontId="19" fillId="0" borderId="0" xfId="0" applyNumberFormat="1" applyFont="1"/>
    <xf numFmtId="2" fontId="8" fillId="0" borderId="0" xfId="0" applyNumberFormat="1" applyFont="1"/>
    <xf numFmtId="4" fontId="8" fillId="0" borderId="0" xfId="0" applyNumberFormat="1" applyFont="1"/>
    <xf numFmtId="4" fontId="2" fillId="0" borderId="0" xfId="0" applyNumberFormat="1" applyFont="1"/>
    <xf numFmtId="0" fontId="20" fillId="0" borderId="0" xfId="0" applyFont="1"/>
    <xf numFmtId="0" fontId="21" fillId="0" borderId="3" xfId="0" applyFont="1" applyBorder="1" applyAlignment="1">
      <alignment horizontal="left" vertical="top"/>
    </xf>
    <xf numFmtId="0" fontId="22" fillId="0" borderId="3" xfId="0" applyFont="1" applyBorder="1" applyAlignment="1">
      <alignment horizontal="left" vertical="top"/>
    </xf>
    <xf numFmtId="164" fontId="21" fillId="0" borderId="3" xfId="0" applyNumberFormat="1" applyFont="1" applyBorder="1" applyAlignment="1">
      <alignment horizontal="right" vertical="top"/>
    </xf>
    <xf numFmtId="49" fontId="11" fillId="6" borderId="34" xfId="0" applyNumberFormat="1" applyFont="1" applyFill="1" applyBorder="1" applyAlignment="1">
      <alignment horizontal="left" vertical="top"/>
    </xf>
    <xf numFmtId="49" fontId="12" fillId="6" borderId="34" xfId="0" applyNumberFormat="1" applyFont="1" applyFill="1" applyBorder="1" applyAlignment="1">
      <alignment horizontal="left" vertical="top"/>
    </xf>
    <xf numFmtId="49" fontId="4" fillId="6" borderId="34" xfId="0" applyNumberFormat="1" applyFont="1" applyFill="1" applyBorder="1" applyAlignment="1">
      <alignment horizontal="left" vertical="top"/>
    </xf>
    <xf numFmtId="164" fontId="4" fillId="6" borderId="34" xfId="0" applyNumberFormat="1" applyFont="1" applyFill="1" applyBorder="1" applyAlignment="1">
      <alignment horizontal="right" vertical="top"/>
    </xf>
    <xf numFmtId="0" fontId="22" fillId="2" borderId="3" xfId="0" applyFont="1" applyFill="1" applyBorder="1" applyAlignment="1">
      <alignment horizontal="left" vertical="top"/>
    </xf>
    <xf numFmtId="0" fontId="21" fillId="2" borderId="3" xfId="0" applyFont="1" applyFill="1" applyBorder="1" applyAlignment="1">
      <alignment horizontal="left" vertical="top"/>
    </xf>
    <xf numFmtId="164" fontId="21" fillId="2" borderId="3" xfId="0" applyNumberFormat="1" applyFont="1" applyFill="1" applyBorder="1" applyAlignment="1">
      <alignment horizontal="right" vertical="top"/>
    </xf>
    <xf numFmtId="165" fontId="8" fillId="0" borderId="0" xfId="0" applyNumberFormat="1" applyFont="1"/>
    <xf numFmtId="164" fontId="21" fillId="0" borderId="3" xfId="0" applyNumberFormat="1" applyFont="1" applyFill="1" applyBorder="1" applyAlignment="1">
      <alignment horizontal="right" vertical="top"/>
    </xf>
    <xf numFmtId="0" fontId="23" fillId="0" borderId="12" xfId="0" applyFont="1" applyBorder="1" applyAlignment="1">
      <alignment horizontal="center"/>
    </xf>
    <xf numFmtId="3" fontId="24" fillId="0" borderId="14" xfId="0" applyNumberFormat="1" applyFont="1" applyBorder="1" applyAlignment="1">
      <alignment horizontal="center"/>
    </xf>
    <xf numFmtId="0" fontId="24" fillId="0" borderId="17" xfId="0" applyFont="1" applyBorder="1" applyAlignment="1">
      <alignment horizontal="center"/>
    </xf>
    <xf numFmtId="3" fontId="24" fillId="0" borderId="12" xfId="0" applyNumberFormat="1" applyFont="1" applyBorder="1" applyAlignment="1">
      <alignment horizontal="center"/>
    </xf>
    <xf numFmtId="0" fontId="8" fillId="0" borderId="4" xfId="0" applyFont="1" applyBorder="1"/>
    <xf numFmtId="0" fontId="23" fillId="0" borderId="16" xfId="0" applyFont="1" applyBorder="1" applyAlignment="1">
      <alignment horizontal="center"/>
    </xf>
    <xf numFmtId="0" fontId="24" fillId="0" borderId="15" xfId="0" applyFont="1" applyBorder="1" applyAlignment="1">
      <alignment horizontal="center"/>
    </xf>
    <xf numFmtId="0" fontId="24" fillId="0" borderId="18" xfId="0" applyFont="1" applyBorder="1" applyAlignment="1">
      <alignment horizontal="center"/>
    </xf>
    <xf numFmtId="3" fontId="24" fillId="0" borderId="16" xfId="0" applyNumberFormat="1" applyFont="1" applyBorder="1" applyAlignment="1">
      <alignment horizontal="center"/>
    </xf>
    <xf numFmtId="0" fontId="23" fillId="0" borderId="6" xfId="0" applyFont="1" applyBorder="1"/>
    <xf numFmtId="4" fontId="23" fillId="0" borderId="7" xfId="0" applyNumberFormat="1" applyFont="1" applyBorder="1"/>
    <xf numFmtId="4" fontId="23" fillId="0" borderId="13" xfId="0" applyNumberFormat="1" applyFont="1" applyBorder="1"/>
    <xf numFmtId="0" fontId="25" fillId="0" borderId="8" xfId="0" applyFont="1" applyBorder="1"/>
    <xf numFmtId="4" fontId="25" fillId="0" borderId="5" xfId="0" applyNumberFormat="1" applyFont="1" applyBorder="1"/>
    <xf numFmtId="4" fontId="25" fillId="0" borderId="7" xfId="0" applyNumberFormat="1" applyFont="1" applyBorder="1"/>
    <xf numFmtId="4" fontId="25" fillId="0" borderId="7" xfId="0" applyNumberFormat="1" applyFont="1" applyBorder="1" applyAlignment="1">
      <alignment horizontal="right"/>
    </xf>
    <xf numFmtId="0" fontId="23" fillId="0" borderId="8" xfId="0" applyFont="1" applyBorder="1"/>
    <xf numFmtId="4" fontId="23" fillId="0" borderId="5" xfId="0" applyNumberFormat="1" applyFont="1" applyBorder="1"/>
    <xf numFmtId="4" fontId="24" fillId="0" borderId="7" xfId="0" applyNumberFormat="1" applyFont="1" applyBorder="1"/>
    <xf numFmtId="4" fontId="26" fillId="0" borderId="7" xfId="0" applyNumberFormat="1" applyFont="1" applyBorder="1"/>
    <xf numFmtId="0" fontId="18" fillId="0" borderId="8" xfId="0" applyFont="1" applyBorder="1"/>
    <xf numFmtId="4" fontId="25" fillId="0" borderId="5" xfId="0" applyNumberFormat="1" applyFont="1" applyBorder="1" applyAlignment="1">
      <alignment horizontal="right"/>
    </xf>
    <xf numFmtId="0" fontId="25" fillId="0" borderId="9" xfId="0" applyFont="1" applyBorder="1"/>
    <xf numFmtId="4" fontId="25" fillId="0" borderId="10" xfId="0" applyNumberFormat="1" applyFont="1" applyBorder="1"/>
    <xf numFmtId="0" fontId="23" fillId="0" borderId="29" xfId="0" applyFont="1" applyBorder="1"/>
    <xf numFmtId="4" fontId="23" fillId="0" borderId="30" xfId="0" applyNumberFormat="1" applyFont="1" applyBorder="1"/>
    <xf numFmtId="0" fontId="23" fillId="0" borderId="11" xfId="0" applyFont="1" applyBorder="1"/>
    <xf numFmtId="0" fontId="23" fillId="0" borderId="9" xfId="0" applyFont="1" applyBorder="1"/>
    <xf numFmtId="4" fontId="23" fillId="0" borderId="32" xfId="0" applyNumberFormat="1" applyFont="1" applyBorder="1"/>
    <xf numFmtId="4" fontId="23" fillId="0" borderId="33" xfId="0" applyNumberFormat="1" applyFont="1" applyBorder="1"/>
    <xf numFmtId="4" fontId="23" fillId="0" borderId="28" xfId="0" applyNumberFormat="1" applyFont="1" applyBorder="1"/>
    <xf numFmtId="4" fontId="24" fillId="0" borderId="5" xfId="0" applyNumberFormat="1" applyFont="1" applyBorder="1"/>
    <xf numFmtId="0" fontId="26" fillId="0" borderId="8" xfId="0" applyFont="1" applyBorder="1"/>
    <xf numFmtId="4" fontId="26" fillId="0" borderId="28" xfId="0" applyNumberFormat="1" applyFont="1" applyBorder="1"/>
    <xf numFmtId="4" fontId="26" fillId="0" borderId="5" xfId="0" applyNumberFormat="1" applyFont="1" applyBorder="1"/>
    <xf numFmtId="4" fontId="27" fillId="0" borderId="10" xfId="0" applyNumberFormat="1" applyFont="1" applyBorder="1"/>
    <xf numFmtId="4" fontId="23" fillId="0" borderId="10" xfId="0" applyNumberFormat="1" applyFont="1" applyBorder="1"/>
    <xf numFmtId="0" fontId="23" fillId="0" borderId="31" xfId="0" applyFont="1" applyBorder="1"/>
    <xf numFmtId="4" fontId="27" fillId="0" borderId="13" xfId="0" applyNumberFormat="1" applyFont="1" applyBorder="1"/>
    <xf numFmtId="0" fontId="8" fillId="10" borderId="0" xfId="0" applyFont="1" applyFill="1"/>
    <xf numFmtId="0" fontId="8" fillId="11" borderId="0" xfId="0" applyFont="1" applyFill="1"/>
    <xf numFmtId="164" fontId="4" fillId="11" borderId="20" xfId="0" applyNumberFormat="1" applyFont="1" applyFill="1" applyBorder="1" applyAlignment="1">
      <alignment horizontal="right" vertical="top"/>
    </xf>
    <xf numFmtId="164" fontId="4" fillId="11" borderId="19" xfId="0" applyNumberFormat="1" applyFont="1" applyFill="1" applyBorder="1" applyAlignment="1">
      <alignment horizontal="right" vertical="top"/>
    </xf>
    <xf numFmtId="0" fontId="8" fillId="12" borderId="0" xfId="0" applyFont="1" applyFill="1"/>
    <xf numFmtId="164" fontId="8" fillId="0" borderId="0" xfId="0" applyNumberFormat="1" applyFont="1"/>
    <xf numFmtId="164" fontId="4" fillId="12" borderId="19" xfId="0" applyNumberFormat="1" applyFont="1" applyFill="1" applyBorder="1" applyAlignment="1">
      <alignment horizontal="right" vertical="top"/>
    </xf>
    <xf numFmtId="164" fontId="4" fillId="10" borderId="19" xfId="0" applyNumberFormat="1" applyFont="1" applyFill="1" applyBorder="1" applyAlignment="1">
      <alignment horizontal="right" vertical="top"/>
    </xf>
    <xf numFmtId="0" fontId="8" fillId="13" borderId="0" xfId="0" applyFont="1" applyFill="1"/>
    <xf numFmtId="164" fontId="4" fillId="13" borderId="20" xfId="0" applyNumberFormat="1" applyFont="1" applyFill="1" applyBorder="1" applyAlignment="1">
      <alignment horizontal="right" vertical="top"/>
    </xf>
    <xf numFmtId="164" fontId="4" fillId="13" borderId="19" xfId="0" applyNumberFormat="1" applyFont="1" applyFill="1" applyBorder="1" applyAlignment="1">
      <alignment horizontal="right" vertical="top"/>
    </xf>
    <xf numFmtId="0" fontId="8" fillId="14" borderId="0" xfId="0" applyFont="1" applyFill="1"/>
    <xf numFmtId="164" fontId="4" fillId="14" borderId="19" xfId="0" applyNumberFormat="1" applyFont="1" applyFill="1" applyBorder="1" applyAlignment="1">
      <alignment horizontal="right" vertical="top"/>
    </xf>
    <xf numFmtId="164" fontId="4" fillId="10" borderId="20" xfId="0" applyNumberFormat="1" applyFont="1" applyFill="1" applyBorder="1" applyAlignment="1">
      <alignment horizontal="right" vertical="top"/>
    </xf>
    <xf numFmtId="164" fontId="4" fillId="10" borderId="23" xfId="0" applyNumberFormat="1" applyFont="1" applyFill="1" applyBorder="1" applyAlignment="1">
      <alignment horizontal="right" vertical="top"/>
    </xf>
    <xf numFmtId="0" fontId="5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Views>
    <sheetView topLeftCell="E46" workbookViewId="0">
      <selection activeCell="L83" sqref="L83"/>
    </sheetView>
  </sheetViews>
  <sheetFormatPr defaultRowHeight="15" x14ac:dyDescent="0.25"/>
  <cols>
    <col min="1" max="1" width="6.140625" style="1" customWidth="1"/>
    <col min="2" max="2" width="6.42578125" style="94" customWidth="1"/>
    <col min="3" max="3" width="28.140625" style="1" customWidth="1"/>
    <col min="4" max="4" width="17.140625" style="6" hidden="1" customWidth="1"/>
    <col min="5" max="5" width="18.7109375" style="6" customWidth="1"/>
    <col min="6" max="6" width="14" style="6" bestFit="1" customWidth="1"/>
    <col min="7" max="7" width="13.7109375" style="1" customWidth="1"/>
    <col min="9" max="9" width="19.28515625" bestFit="1" customWidth="1"/>
    <col min="10" max="10" width="12.140625" customWidth="1"/>
    <col min="12" max="12" width="13.42578125" bestFit="1" customWidth="1"/>
  </cols>
  <sheetData>
    <row r="1" spans="1:12" s="99" customFormat="1" ht="17.25" x14ac:dyDescent="0.3">
      <c r="A1" s="95" t="s">
        <v>203</v>
      </c>
      <c r="B1" s="96"/>
      <c r="C1" s="96"/>
      <c r="D1" s="97"/>
      <c r="E1" s="97"/>
      <c r="F1" s="97"/>
      <c r="G1" s="98"/>
    </row>
    <row r="2" spans="1:12" s="14" customFormat="1" ht="17.25" customHeight="1" x14ac:dyDescent="0.2">
      <c r="A2" s="10" t="s">
        <v>0</v>
      </c>
      <c r="B2" s="11"/>
      <c r="C2" s="11"/>
      <c r="D2" s="12"/>
      <c r="E2" s="12"/>
      <c r="F2" s="12"/>
      <c r="G2" s="13"/>
    </row>
    <row r="3" spans="1:12" s="14" customFormat="1" ht="12" x14ac:dyDescent="0.2">
      <c r="A3" s="11"/>
      <c r="B3" s="10" t="s">
        <v>150</v>
      </c>
      <c r="C3" s="11"/>
      <c r="D3" s="12"/>
      <c r="E3" s="12"/>
      <c r="F3" s="12"/>
      <c r="G3" s="13"/>
    </row>
    <row r="4" spans="1:12" s="14" customFormat="1" ht="12" x14ac:dyDescent="0.2">
      <c r="A4" s="11"/>
      <c r="B4" s="10" t="s">
        <v>151</v>
      </c>
      <c r="C4" s="11"/>
      <c r="D4" s="12"/>
      <c r="E4" s="12"/>
      <c r="F4" s="12" t="s">
        <v>176</v>
      </c>
      <c r="G4" s="13"/>
    </row>
    <row r="5" spans="1:12" s="14" customFormat="1" ht="6" customHeight="1" x14ac:dyDescent="0.2">
      <c r="A5" s="15"/>
      <c r="B5" s="15"/>
      <c r="C5" s="15"/>
      <c r="D5" s="16"/>
      <c r="E5" s="16"/>
      <c r="F5" s="16"/>
      <c r="G5" s="15"/>
    </row>
    <row r="6" spans="1:12" s="14" customFormat="1" ht="12" x14ac:dyDescent="0.2">
      <c r="A6" s="17" t="s">
        <v>1</v>
      </c>
      <c r="B6" s="17" t="s">
        <v>2</v>
      </c>
      <c r="C6" s="17" t="s">
        <v>3</v>
      </c>
      <c r="D6" s="18" t="s">
        <v>4</v>
      </c>
      <c r="E6" s="18" t="s">
        <v>171</v>
      </c>
      <c r="F6" s="18" t="s">
        <v>5</v>
      </c>
      <c r="G6" s="19" t="s">
        <v>183</v>
      </c>
      <c r="I6" s="14" t="s">
        <v>211</v>
      </c>
      <c r="K6" s="14" t="s">
        <v>215</v>
      </c>
      <c r="L6" s="14" t="s">
        <v>217</v>
      </c>
    </row>
    <row r="7" spans="1:12" s="14" customFormat="1" ht="12" x14ac:dyDescent="0.2">
      <c r="A7" s="20"/>
      <c r="B7" s="20"/>
      <c r="C7" s="20"/>
      <c r="D7" s="21" t="s">
        <v>6</v>
      </c>
      <c r="E7" s="22">
        <v>2</v>
      </c>
      <c r="F7" s="21" t="s">
        <v>7</v>
      </c>
      <c r="G7" s="23" t="s">
        <v>168</v>
      </c>
      <c r="I7" s="157" t="s">
        <v>212</v>
      </c>
      <c r="J7" s="116">
        <f>F11+F14+F15</f>
        <v>1639720.1199999999</v>
      </c>
      <c r="K7" s="103">
        <f t="shared" ref="K7:K9" si="0">J7/1000</f>
        <v>1639.72012</v>
      </c>
      <c r="L7" s="158" t="s">
        <v>218</v>
      </c>
    </row>
    <row r="8" spans="1:12" s="14" customFormat="1" ht="12" x14ac:dyDescent="0.2">
      <c r="A8" s="24" t="s">
        <v>8</v>
      </c>
      <c r="B8" s="25" t="s">
        <v>9</v>
      </c>
      <c r="C8" s="24" t="s">
        <v>10</v>
      </c>
      <c r="D8" s="26">
        <v>3388000</v>
      </c>
      <c r="E8" s="117">
        <v>3050000</v>
      </c>
      <c r="F8" s="159">
        <v>3048068.07</v>
      </c>
      <c r="G8" s="28">
        <f>F8/E8</f>
        <v>0.99936658032786885</v>
      </c>
      <c r="I8" s="168" t="s">
        <v>216</v>
      </c>
      <c r="J8" s="116">
        <f>F13+F75</f>
        <v>639891.02</v>
      </c>
      <c r="K8" s="103">
        <f t="shared" si="0"/>
        <v>639.89102000000003</v>
      </c>
      <c r="L8" s="158" t="s">
        <v>218</v>
      </c>
    </row>
    <row r="9" spans="1:12" s="14" customFormat="1" ht="12" x14ac:dyDescent="0.2">
      <c r="A9" s="24" t="s">
        <v>8</v>
      </c>
      <c r="B9" s="25" t="s">
        <v>11</v>
      </c>
      <c r="C9" s="24" t="s">
        <v>12</v>
      </c>
      <c r="D9" s="26">
        <v>2224000</v>
      </c>
      <c r="E9" s="117">
        <v>1650000</v>
      </c>
      <c r="F9" s="160">
        <v>1642617.59</v>
      </c>
      <c r="G9" s="28">
        <f t="shared" ref="G9:G77" si="1">F9/E9</f>
        <v>0.99552581212121216</v>
      </c>
      <c r="I9" s="161" t="s">
        <v>18</v>
      </c>
      <c r="J9" s="162">
        <f>F12</f>
        <v>10999995.43</v>
      </c>
      <c r="K9" s="103">
        <f t="shared" si="0"/>
        <v>10999.995429999999</v>
      </c>
      <c r="L9" s="158" t="s">
        <v>218</v>
      </c>
    </row>
    <row r="10" spans="1:12" s="14" customFormat="1" ht="12" x14ac:dyDescent="0.2">
      <c r="A10" s="24" t="s">
        <v>8</v>
      </c>
      <c r="B10" s="25" t="s">
        <v>13</v>
      </c>
      <c r="C10" s="24" t="s">
        <v>14</v>
      </c>
      <c r="D10" s="26">
        <v>1200000</v>
      </c>
      <c r="E10" s="117">
        <v>1500000</v>
      </c>
      <c r="F10" s="160">
        <v>1498434.55</v>
      </c>
      <c r="G10" s="28">
        <f t="shared" si="1"/>
        <v>0.99895636666666665</v>
      </c>
      <c r="I10" s="158" t="s">
        <v>213</v>
      </c>
      <c r="J10" s="116">
        <f>F8+F9+F10</f>
        <v>6189120.21</v>
      </c>
      <c r="K10" s="103">
        <f>J10/1000</f>
        <v>6189.12021</v>
      </c>
      <c r="L10" s="158" t="s">
        <v>218</v>
      </c>
    </row>
    <row r="11" spans="1:12" s="14" customFormat="1" ht="12" x14ac:dyDescent="0.2">
      <c r="A11" s="24" t="s">
        <v>8</v>
      </c>
      <c r="B11" s="25" t="s">
        <v>15</v>
      </c>
      <c r="C11" s="24" t="s">
        <v>16</v>
      </c>
      <c r="D11" s="26">
        <v>40000</v>
      </c>
      <c r="E11" s="117">
        <v>40000</v>
      </c>
      <c r="F11" s="164">
        <v>36424.230000000003</v>
      </c>
      <c r="G11" s="28">
        <f t="shared" si="1"/>
        <v>0.9106057500000001</v>
      </c>
      <c r="I11" s="165" t="s">
        <v>214</v>
      </c>
      <c r="J11" s="116">
        <f>F17+F18+F19</f>
        <v>2471200.9900000002</v>
      </c>
      <c r="K11" s="103">
        <f>J11/1000</f>
        <v>2471.2009900000003</v>
      </c>
      <c r="L11" s="158" t="s">
        <v>218</v>
      </c>
    </row>
    <row r="12" spans="1:12" s="14" customFormat="1" ht="12" x14ac:dyDescent="0.2">
      <c r="A12" s="24" t="s">
        <v>8</v>
      </c>
      <c r="B12" s="25" t="s">
        <v>17</v>
      </c>
      <c r="C12" s="24" t="s">
        <v>18</v>
      </c>
      <c r="D12" s="26">
        <v>11144000</v>
      </c>
      <c r="E12" s="117">
        <v>11000000</v>
      </c>
      <c r="F12" s="163">
        <v>10999995.43</v>
      </c>
      <c r="G12" s="28">
        <f t="shared" si="1"/>
        <v>0.99999958454545457</v>
      </c>
    </row>
    <row r="13" spans="1:12" s="14" customFormat="1" ht="12" x14ac:dyDescent="0.2">
      <c r="A13" s="24" t="s">
        <v>8</v>
      </c>
      <c r="B13" s="25" t="s">
        <v>19</v>
      </c>
      <c r="C13" s="24" t="s">
        <v>20</v>
      </c>
      <c r="D13" s="26">
        <v>120000</v>
      </c>
      <c r="E13" s="117">
        <v>120000</v>
      </c>
      <c r="F13" s="169">
        <v>94540.13</v>
      </c>
      <c r="G13" s="28">
        <f t="shared" si="1"/>
        <v>0.78783441666666676</v>
      </c>
    </row>
    <row r="14" spans="1:12" s="14" customFormat="1" ht="12" x14ac:dyDescent="0.2">
      <c r="A14" s="24" t="s">
        <v>8</v>
      </c>
      <c r="B14" s="25" t="s">
        <v>21</v>
      </c>
      <c r="C14" s="24" t="s">
        <v>22</v>
      </c>
      <c r="D14" s="26">
        <v>190000</v>
      </c>
      <c r="E14" s="117">
        <v>450000</v>
      </c>
      <c r="F14" s="164">
        <v>447283.5</v>
      </c>
      <c r="G14" s="28">
        <f t="shared" si="1"/>
        <v>0.99396333333333331</v>
      </c>
    </row>
    <row r="15" spans="1:12" s="14" customFormat="1" ht="12" x14ac:dyDescent="0.2">
      <c r="A15" s="24" t="s">
        <v>8</v>
      </c>
      <c r="B15" s="25" t="s">
        <v>24</v>
      </c>
      <c r="C15" s="24" t="s">
        <v>25</v>
      </c>
      <c r="D15" s="26">
        <v>1600000</v>
      </c>
      <c r="E15" s="26">
        <v>1170000</v>
      </c>
      <c r="F15" s="164">
        <v>1156012.3899999999</v>
      </c>
      <c r="G15" s="28">
        <f t="shared" si="1"/>
        <v>0.98804477777777766</v>
      </c>
    </row>
    <row r="16" spans="1:12" s="14" customFormat="1" ht="12" x14ac:dyDescent="0.2">
      <c r="A16" s="30" t="s">
        <v>8</v>
      </c>
      <c r="B16" s="31" t="s">
        <v>26</v>
      </c>
      <c r="C16" s="31"/>
      <c r="D16" s="32">
        <f>SUM(D8:D15)</f>
        <v>19906000</v>
      </c>
      <c r="E16" s="32">
        <f>SUM(E8:E15)</f>
        <v>18980000</v>
      </c>
      <c r="F16" s="32">
        <f>SUM(F8:F15)</f>
        <v>18923375.890000001</v>
      </c>
      <c r="G16" s="33">
        <f t="shared" si="1"/>
        <v>0.99701664330874606</v>
      </c>
    </row>
    <row r="17" spans="1:7" s="14" customFormat="1" ht="12" x14ac:dyDescent="0.2">
      <c r="A17" s="24" t="s">
        <v>27</v>
      </c>
      <c r="B17" s="25" t="s">
        <v>9</v>
      </c>
      <c r="C17" s="24" t="s">
        <v>28</v>
      </c>
      <c r="D17" s="26">
        <v>1800000</v>
      </c>
      <c r="E17" s="117">
        <v>750000</v>
      </c>
      <c r="F17" s="166">
        <v>726143.13</v>
      </c>
      <c r="G17" s="28">
        <f t="shared" si="1"/>
        <v>0.96819084</v>
      </c>
    </row>
    <row r="18" spans="1:7" s="14" customFormat="1" ht="12" x14ac:dyDescent="0.2">
      <c r="A18" s="24" t="s">
        <v>27</v>
      </c>
      <c r="B18" s="25" t="s">
        <v>29</v>
      </c>
      <c r="C18" s="24" t="s">
        <v>30</v>
      </c>
      <c r="D18" s="26">
        <v>2120000</v>
      </c>
      <c r="E18" s="117">
        <v>1400000</v>
      </c>
      <c r="F18" s="167">
        <v>1236807.8600000001</v>
      </c>
      <c r="G18" s="28">
        <f t="shared" si="1"/>
        <v>0.88343418571428578</v>
      </c>
    </row>
    <row r="19" spans="1:7" s="14" customFormat="1" ht="12" x14ac:dyDescent="0.2">
      <c r="A19" s="24" t="s">
        <v>27</v>
      </c>
      <c r="B19" s="25" t="s">
        <v>17</v>
      </c>
      <c r="C19" s="24" t="s">
        <v>31</v>
      </c>
      <c r="D19" s="26">
        <v>455000</v>
      </c>
      <c r="E19" s="117">
        <v>500000</v>
      </c>
      <c r="F19" s="167">
        <v>508250</v>
      </c>
      <c r="G19" s="28">
        <f t="shared" si="1"/>
        <v>1.0165</v>
      </c>
    </row>
    <row r="20" spans="1:7" s="14" customFormat="1" ht="12" x14ac:dyDescent="0.2">
      <c r="A20" s="30" t="s">
        <v>27</v>
      </c>
      <c r="B20" s="31" t="s">
        <v>32</v>
      </c>
      <c r="C20" s="31"/>
      <c r="D20" s="34">
        <f t="shared" ref="D20" si="2">SUM(D17:D19)</f>
        <v>4375000</v>
      </c>
      <c r="E20" s="34">
        <f>SUM(E17:E19)</f>
        <v>2650000</v>
      </c>
      <c r="F20" s="34">
        <f>SUM(F17:F19)</f>
        <v>2471200.9900000002</v>
      </c>
      <c r="G20" s="33">
        <f t="shared" si="1"/>
        <v>0.93252867547169815</v>
      </c>
    </row>
    <row r="21" spans="1:7" s="14" customFormat="1" ht="12" x14ac:dyDescent="0.2">
      <c r="A21" s="35" t="s">
        <v>33</v>
      </c>
      <c r="B21" s="36"/>
      <c r="C21" s="36"/>
      <c r="D21" s="37">
        <f t="shared" ref="D21" si="3">D16+D20</f>
        <v>24281000</v>
      </c>
      <c r="E21" s="37">
        <f>E16+E20</f>
        <v>21630000</v>
      </c>
      <c r="F21" s="37">
        <f>F16+F20</f>
        <v>21394576.880000003</v>
      </c>
      <c r="G21" s="38">
        <f t="shared" si="1"/>
        <v>0.98911589828941293</v>
      </c>
    </row>
    <row r="22" spans="1:7" s="14" customFormat="1" ht="12" x14ac:dyDescent="0.2">
      <c r="A22" s="79" t="s">
        <v>34</v>
      </c>
      <c r="B22" s="85" t="s">
        <v>35</v>
      </c>
      <c r="C22" s="79" t="s">
        <v>36</v>
      </c>
      <c r="D22" s="27">
        <v>1620000</v>
      </c>
      <c r="E22" s="117">
        <v>2778000</v>
      </c>
      <c r="F22" s="27">
        <v>2161139.85</v>
      </c>
      <c r="G22" s="28">
        <f t="shared" si="1"/>
        <v>0.77794811015118792</v>
      </c>
    </row>
    <row r="23" spans="1:7" s="14" customFormat="1" ht="12" x14ac:dyDescent="0.2">
      <c r="A23" s="41" t="s">
        <v>34</v>
      </c>
      <c r="B23" s="86" t="s">
        <v>37</v>
      </c>
      <c r="C23" s="42"/>
      <c r="D23" s="43">
        <f>D22</f>
        <v>1620000</v>
      </c>
      <c r="E23" s="43">
        <f>SUM(E22:E22)</f>
        <v>2778000</v>
      </c>
      <c r="F23" s="43">
        <f>SUM(F22:F22)</f>
        <v>2161139.85</v>
      </c>
      <c r="G23" s="44">
        <f t="shared" si="1"/>
        <v>0.77794811015118792</v>
      </c>
    </row>
    <row r="24" spans="1:7" s="14" customFormat="1" ht="12" x14ac:dyDescent="0.2">
      <c r="A24" s="45" t="s">
        <v>38</v>
      </c>
      <c r="B24" s="87" t="s">
        <v>39</v>
      </c>
      <c r="C24" s="45" t="s">
        <v>40</v>
      </c>
      <c r="D24" s="29">
        <v>7000</v>
      </c>
      <c r="E24" s="29">
        <v>30000</v>
      </c>
      <c r="F24" s="26">
        <v>9071</v>
      </c>
      <c r="G24" s="28">
        <f t="shared" si="1"/>
        <v>0.30236666666666667</v>
      </c>
    </row>
    <row r="25" spans="1:7" s="14" customFormat="1" ht="12" x14ac:dyDescent="0.2">
      <c r="A25" s="41" t="s">
        <v>38</v>
      </c>
      <c r="B25" s="86" t="s">
        <v>41</v>
      </c>
      <c r="C25" s="42"/>
      <c r="D25" s="43">
        <f>D24</f>
        <v>7000</v>
      </c>
      <c r="E25" s="43">
        <f>E24</f>
        <v>30000</v>
      </c>
      <c r="F25" s="43">
        <f>F24</f>
        <v>9071</v>
      </c>
      <c r="G25" s="44">
        <f t="shared" si="1"/>
        <v>0.30236666666666667</v>
      </c>
    </row>
    <row r="26" spans="1:7" s="14" customFormat="1" ht="12" x14ac:dyDescent="0.2">
      <c r="A26" s="45" t="s">
        <v>42</v>
      </c>
      <c r="B26" s="87" t="s">
        <v>39</v>
      </c>
      <c r="C26" s="45" t="s">
        <v>43</v>
      </c>
      <c r="D26" s="29">
        <v>10000</v>
      </c>
      <c r="E26" s="29">
        <v>10000</v>
      </c>
      <c r="F26" s="29">
        <v>9998.68</v>
      </c>
      <c r="G26" s="28">
        <f t="shared" ref="G26" si="4">F26/E26</f>
        <v>0.99986799999999998</v>
      </c>
    </row>
    <row r="27" spans="1:7" s="14" customFormat="1" ht="12" x14ac:dyDescent="0.2">
      <c r="A27" s="47" t="s">
        <v>42</v>
      </c>
      <c r="B27" s="88" t="s">
        <v>44</v>
      </c>
      <c r="C27" s="48"/>
      <c r="D27" s="49">
        <f>D26</f>
        <v>10000</v>
      </c>
      <c r="E27" s="49">
        <f>E26</f>
        <v>10000</v>
      </c>
      <c r="F27" s="49">
        <f>F26</f>
        <v>9998.68</v>
      </c>
      <c r="G27" s="50">
        <f t="shared" si="1"/>
        <v>0.99986799999999998</v>
      </c>
    </row>
    <row r="28" spans="1:7" s="14" customFormat="1" ht="12" x14ac:dyDescent="0.2">
      <c r="A28" s="46" t="s">
        <v>45</v>
      </c>
      <c r="B28" s="89" t="s">
        <v>17</v>
      </c>
      <c r="C28" s="45" t="s">
        <v>172</v>
      </c>
      <c r="D28" s="29">
        <v>144000</v>
      </c>
      <c r="E28" s="117">
        <v>150000</v>
      </c>
      <c r="F28" s="29">
        <v>117482.04</v>
      </c>
      <c r="G28" s="28">
        <f t="shared" si="1"/>
        <v>0.78321359999999995</v>
      </c>
    </row>
    <row r="29" spans="1:7" s="14" customFormat="1" ht="12" x14ac:dyDescent="0.2">
      <c r="A29" s="45" t="s">
        <v>45</v>
      </c>
      <c r="B29" s="87" t="s">
        <v>19</v>
      </c>
      <c r="C29" s="45" t="s">
        <v>163</v>
      </c>
      <c r="D29" s="29">
        <v>300000</v>
      </c>
      <c r="E29" s="117">
        <v>450000</v>
      </c>
      <c r="F29" s="29">
        <v>430975</v>
      </c>
      <c r="G29" s="28">
        <f t="shared" si="1"/>
        <v>0.95772222222222225</v>
      </c>
    </row>
    <row r="30" spans="1:7" s="14" customFormat="1" ht="12" x14ac:dyDescent="0.2">
      <c r="A30" s="45" t="s">
        <v>45</v>
      </c>
      <c r="B30" s="87" t="s">
        <v>46</v>
      </c>
      <c r="C30" s="45" t="s">
        <v>47</v>
      </c>
      <c r="D30" s="29">
        <v>698000</v>
      </c>
      <c r="E30" s="117">
        <v>1650000</v>
      </c>
      <c r="F30" s="29">
        <v>1543232.81</v>
      </c>
      <c r="G30" s="28">
        <f t="shared" si="1"/>
        <v>0.93529261212121217</v>
      </c>
    </row>
    <row r="31" spans="1:7" s="14" customFormat="1" ht="12" x14ac:dyDescent="0.2">
      <c r="A31" s="45" t="s">
        <v>45</v>
      </c>
      <c r="B31" s="87" t="s">
        <v>23</v>
      </c>
      <c r="C31" s="45" t="s">
        <v>48</v>
      </c>
      <c r="D31" s="29">
        <v>2990000</v>
      </c>
      <c r="E31" s="117">
        <v>3750000</v>
      </c>
      <c r="F31" s="29">
        <v>3749207.2</v>
      </c>
      <c r="G31" s="28">
        <f t="shared" si="1"/>
        <v>0.9997885866666667</v>
      </c>
    </row>
    <row r="32" spans="1:7" s="14" customFormat="1" ht="12" x14ac:dyDescent="0.2">
      <c r="A32" s="45" t="s">
        <v>45</v>
      </c>
      <c r="B32" s="87" t="s">
        <v>24</v>
      </c>
      <c r="C32" s="45" t="s">
        <v>49</v>
      </c>
      <c r="D32" s="29">
        <v>1240000</v>
      </c>
      <c r="E32" s="117">
        <v>1240000</v>
      </c>
      <c r="F32" s="29">
        <v>1234200</v>
      </c>
      <c r="G32" s="28">
        <f t="shared" si="1"/>
        <v>0.99532258064516133</v>
      </c>
    </row>
    <row r="33" spans="1:8" s="14" customFormat="1" ht="12" x14ac:dyDescent="0.2">
      <c r="A33" s="45" t="s">
        <v>45</v>
      </c>
      <c r="B33" s="87" t="s">
        <v>50</v>
      </c>
      <c r="C33" s="45" t="s">
        <v>51</v>
      </c>
      <c r="D33" s="29">
        <v>10000</v>
      </c>
      <c r="E33" s="117">
        <v>3000</v>
      </c>
      <c r="F33" s="29">
        <v>1793</v>
      </c>
      <c r="G33" s="28">
        <f t="shared" si="1"/>
        <v>0.59766666666666668</v>
      </c>
    </row>
    <row r="34" spans="1:8" s="14" customFormat="1" ht="12" x14ac:dyDescent="0.2">
      <c r="A34" s="45" t="s">
        <v>45</v>
      </c>
      <c r="B34" s="87" t="s">
        <v>53</v>
      </c>
      <c r="C34" s="45" t="s">
        <v>54</v>
      </c>
      <c r="D34" s="29">
        <v>190000</v>
      </c>
      <c r="E34" s="117">
        <v>180000</v>
      </c>
      <c r="F34" s="29">
        <v>168709.94</v>
      </c>
      <c r="G34" s="28">
        <f t="shared" si="1"/>
        <v>0.9372774444444445</v>
      </c>
    </row>
    <row r="35" spans="1:8" s="14" customFormat="1" ht="12" x14ac:dyDescent="0.2">
      <c r="A35" s="45" t="s">
        <v>45</v>
      </c>
      <c r="B35" s="87" t="s">
        <v>55</v>
      </c>
      <c r="C35" s="45" t="s">
        <v>56</v>
      </c>
      <c r="D35" s="29">
        <v>630000</v>
      </c>
      <c r="E35" s="117">
        <v>550000</v>
      </c>
      <c r="F35" s="29">
        <v>527036</v>
      </c>
      <c r="G35" s="28">
        <f t="shared" si="1"/>
        <v>0.95824727272727273</v>
      </c>
    </row>
    <row r="36" spans="1:8" s="14" customFormat="1" ht="12" x14ac:dyDescent="0.2">
      <c r="A36" s="45" t="s">
        <v>45</v>
      </c>
      <c r="B36" s="87" t="s">
        <v>59</v>
      </c>
      <c r="C36" s="45" t="s">
        <v>60</v>
      </c>
      <c r="D36" s="29">
        <v>659000</v>
      </c>
      <c r="E36" s="117">
        <v>810000</v>
      </c>
      <c r="F36" s="29">
        <v>775966.9</v>
      </c>
      <c r="G36" s="28">
        <f t="shared" si="1"/>
        <v>0.95798382716049391</v>
      </c>
    </row>
    <row r="37" spans="1:8" s="14" customFormat="1" ht="12" x14ac:dyDescent="0.2">
      <c r="A37" s="45" t="s">
        <v>45</v>
      </c>
      <c r="B37" s="87" t="s">
        <v>61</v>
      </c>
      <c r="C37" s="45" t="s">
        <v>62</v>
      </c>
      <c r="D37" s="29">
        <v>299000</v>
      </c>
      <c r="E37" s="117">
        <v>314000</v>
      </c>
      <c r="F37" s="29">
        <v>350918</v>
      </c>
      <c r="G37" s="28">
        <f t="shared" si="1"/>
        <v>1.1175732484076433</v>
      </c>
    </row>
    <row r="38" spans="1:8" s="14" customFormat="1" ht="12" x14ac:dyDescent="0.2">
      <c r="A38" s="45" t="s">
        <v>45</v>
      </c>
      <c r="B38" s="87" t="s">
        <v>63</v>
      </c>
      <c r="C38" s="45" t="s">
        <v>64</v>
      </c>
      <c r="D38" s="29">
        <v>100000</v>
      </c>
      <c r="E38" s="117">
        <v>220000</v>
      </c>
      <c r="F38" s="29">
        <v>241797.53</v>
      </c>
      <c r="G38" s="28">
        <f t="shared" si="1"/>
        <v>1.0990796818181818</v>
      </c>
    </row>
    <row r="39" spans="1:8" s="14" customFormat="1" ht="12" x14ac:dyDescent="0.2">
      <c r="A39" s="45" t="s">
        <v>45</v>
      </c>
      <c r="B39" s="87" t="s">
        <v>65</v>
      </c>
      <c r="C39" s="45" t="s">
        <v>66</v>
      </c>
      <c r="D39" s="29">
        <v>200000</v>
      </c>
      <c r="E39" s="117">
        <v>150000</v>
      </c>
      <c r="F39" s="29">
        <v>191244.09</v>
      </c>
      <c r="G39" s="28">
        <f t="shared" si="1"/>
        <v>1.2749606</v>
      </c>
    </row>
    <row r="40" spans="1:8" s="14" customFormat="1" ht="12" x14ac:dyDescent="0.2">
      <c r="A40" s="45" t="s">
        <v>45</v>
      </c>
      <c r="B40" s="87" t="s">
        <v>67</v>
      </c>
      <c r="C40" s="45" t="s">
        <v>68</v>
      </c>
      <c r="D40" s="29">
        <v>575000</v>
      </c>
      <c r="E40" s="117">
        <v>900000</v>
      </c>
      <c r="F40" s="29">
        <v>852356.45</v>
      </c>
      <c r="G40" s="28">
        <f t="shared" si="1"/>
        <v>0.94706272222222221</v>
      </c>
    </row>
    <row r="41" spans="1:8" s="14" customFormat="1" ht="12" x14ac:dyDescent="0.2">
      <c r="A41" s="45" t="s">
        <v>45</v>
      </c>
      <c r="B41" s="87" t="s">
        <v>69</v>
      </c>
      <c r="C41" s="45" t="s">
        <v>70</v>
      </c>
      <c r="D41" s="29">
        <v>1977000</v>
      </c>
      <c r="E41" s="117">
        <v>2200000</v>
      </c>
      <c r="F41" s="29">
        <v>2101744.89</v>
      </c>
      <c r="G41" s="28">
        <f t="shared" si="1"/>
        <v>0.95533858636363644</v>
      </c>
    </row>
    <row r="42" spans="1:8" s="14" customFormat="1" ht="12" x14ac:dyDescent="0.2">
      <c r="A42" s="45" t="s">
        <v>45</v>
      </c>
      <c r="B42" s="87" t="s">
        <v>71</v>
      </c>
      <c r="C42" s="45" t="s">
        <v>72</v>
      </c>
      <c r="D42" s="29">
        <v>30000</v>
      </c>
      <c r="E42" s="117">
        <v>25000</v>
      </c>
      <c r="F42" s="29">
        <v>22941</v>
      </c>
      <c r="G42" s="28">
        <f t="shared" si="1"/>
        <v>0.91764000000000001</v>
      </c>
    </row>
    <row r="43" spans="1:8" s="14" customFormat="1" ht="12" x14ac:dyDescent="0.2">
      <c r="A43" s="51" t="s">
        <v>45</v>
      </c>
      <c r="B43" s="90" t="s">
        <v>73</v>
      </c>
      <c r="C43" s="52"/>
      <c r="D43" s="34">
        <f>SUM(D28:D42)</f>
        <v>10042000</v>
      </c>
      <c r="E43" s="34">
        <f>SUM(E28:E42)</f>
        <v>12592000</v>
      </c>
      <c r="F43" s="34">
        <f>SUM(F28:F42)</f>
        <v>12309604.85</v>
      </c>
      <c r="G43" s="33">
        <f t="shared" si="1"/>
        <v>0.97757344742693775</v>
      </c>
      <c r="H43" s="105"/>
    </row>
    <row r="44" spans="1:8" s="14" customFormat="1" ht="12.75" thickBot="1" x14ac:dyDescent="0.25">
      <c r="A44" s="53" t="s">
        <v>74</v>
      </c>
      <c r="B44" s="91"/>
      <c r="C44" s="54"/>
      <c r="D44" s="55">
        <f>D23+D25+D27+D43</f>
        <v>11679000</v>
      </c>
      <c r="E44" s="55">
        <f>E23+E25+E27+E43</f>
        <v>15410000</v>
      </c>
      <c r="F44" s="55">
        <f>F23+F25+F27+F43</f>
        <v>14489814.379999999</v>
      </c>
      <c r="G44" s="56">
        <f t="shared" si="1"/>
        <v>0.94028646203763788</v>
      </c>
    </row>
    <row r="45" spans="1:8" s="14" customFormat="1" ht="12" x14ac:dyDescent="0.2">
      <c r="A45" s="39" t="s">
        <v>75</v>
      </c>
      <c r="B45" s="92" t="s">
        <v>39</v>
      </c>
      <c r="C45" s="39" t="s">
        <v>76</v>
      </c>
      <c r="D45" s="40">
        <v>39500000</v>
      </c>
      <c r="E45" s="117">
        <v>46800000</v>
      </c>
      <c r="F45" s="40">
        <v>46716169</v>
      </c>
      <c r="G45" s="28">
        <f t="shared" si="1"/>
        <v>0.99820873931623932</v>
      </c>
    </row>
    <row r="46" spans="1:8" s="14" customFormat="1" ht="12" x14ac:dyDescent="0.2">
      <c r="A46" s="45" t="s">
        <v>75</v>
      </c>
      <c r="B46" s="87" t="s">
        <v>197</v>
      </c>
      <c r="C46" s="45" t="s">
        <v>198</v>
      </c>
      <c r="D46" s="29">
        <v>170000</v>
      </c>
      <c r="E46" s="117">
        <v>260000</v>
      </c>
      <c r="F46" s="29">
        <v>254530</v>
      </c>
      <c r="G46" s="28">
        <f t="shared" ref="G46" si="5">F46/E46</f>
        <v>0.97896153846153844</v>
      </c>
    </row>
    <row r="47" spans="1:8" s="14" customFormat="1" ht="12" x14ac:dyDescent="0.2">
      <c r="A47" s="45" t="s">
        <v>75</v>
      </c>
      <c r="B47" s="87" t="s">
        <v>29</v>
      </c>
      <c r="C47" s="45" t="s">
        <v>77</v>
      </c>
      <c r="D47" s="29">
        <v>1300000</v>
      </c>
      <c r="E47" s="117">
        <v>4550000</v>
      </c>
      <c r="F47" s="29">
        <v>4633699</v>
      </c>
      <c r="G47" s="28">
        <f t="shared" si="1"/>
        <v>1.0183953846153846</v>
      </c>
    </row>
    <row r="48" spans="1:8" s="14" customFormat="1" ht="12" x14ac:dyDescent="0.2">
      <c r="A48" s="45" t="s">
        <v>75</v>
      </c>
      <c r="B48" s="87" t="s">
        <v>199</v>
      </c>
      <c r="C48" s="45" t="s">
        <v>169</v>
      </c>
      <c r="D48" s="29">
        <v>170000</v>
      </c>
      <c r="E48" s="117">
        <v>20000</v>
      </c>
      <c r="F48" s="29">
        <v>9617</v>
      </c>
      <c r="G48" s="28"/>
    </row>
    <row r="49" spans="1:7" s="14" customFormat="1" ht="12" x14ac:dyDescent="0.2">
      <c r="A49" s="51" t="s">
        <v>75</v>
      </c>
      <c r="B49" s="90" t="s">
        <v>78</v>
      </c>
      <c r="C49" s="52"/>
      <c r="D49" s="34">
        <f>SUM(D45:D48)</f>
        <v>41140000</v>
      </c>
      <c r="E49" s="34">
        <f>SUM(E45:E48)</f>
        <v>51630000</v>
      </c>
      <c r="F49" s="34">
        <f>SUM(F45:F48)</f>
        <v>51614015</v>
      </c>
      <c r="G49" s="33">
        <f t="shared" si="1"/>
        <v>0.99969039318225839</v>
      </c>
    </row>
    <row r="50" spans="1:7" s="14" customFormat="1" ht="12" x14ac:dyDescent="0.2">
      <c r="A50" s="45" t="s">
        <v>79</v>
      </c>
      <c r="B50" s="87" t="s">
        <v>39</v>
      </c>
      <c r="C50" s="45" t="s">
        <v>80</v>
      </c>
      <c r="D50" s="29">
        <v>10250000</v>
      </c>
      <c r="E50" s="117">
        <v>12780000</v>
      </c>
      <c r="F50" s="57">
        <v>12676779</v>
      </c>
      <c r="G50" s="58">
        <f t="shared" si="1"/>
        <v>0.99192323943661975</v>
      </c>
    </row>
    <row r="51" spans="1:7" s="14" customFormat="1" ht="12" x14ac:dyDescent="0.2">
      <c r="A51" s="45" t="s">
        <v>79</v>
      </c>
      <c r="B51" s="87" t="s">
        <v>29</v>
      </c>
      <c r="C51" s="45" t="s">
        <v>81</v>
      </c>
      <c r="D51" s="29">
        <v>3800000</v>
      </c>
      <c r="E51" s="117">
        <v>4700000</v>
      </c>
      <c r="F51" s="57">
        <v>4613027</v>
      </c>
      <c r="G51" s="28">
        <f t="shared" si="1"/>
        <v>0.98149510638297877</v>
      </c>
    </row>
    <row r="52" spans="1:7" s="14" customFormat="1" ht="12" x14ac:dyDescent="0.2">
      <c r="A52" s="51" t="s">
        <v>79</v>
      </c>
      <c r="B52" s="90" t="s">
        <v>82</v>
      </c>
      <c r="C52" s="52"/>
      <c r="D52" s="34">
        <f>SUM(D50:D51)</f>
        <v>14050000</v>
      </c>
      <c r="E52" s="34">
        <f>SUM(E50:E51)</f>
        <v>17480000</v>
      </c>
      <c r="F52" s="34">
        <f>SUM(F50:F51)</f>
        <v>17289806</v>
      </c>
      <c r="G52" s="33">
        <f t="shared" si="1"/>
        <v>0.98911933638443938</v>
      </c>
    </row>
    <row r="53" spans="1:7" s="14" customFormat="1" ht="12" x14ac:dyDescent="0.2">
      <c r="A53" s="45" t="s">
        <v>83</v>
      </c>
      <c r="B53" s="87" t="s">
        <v>29</v>
      </c>
      <c r="C53" s="45" t="s">
        <v>84</v>
      </c>
      <c r="D53" s="29">
        <v>201000</v>
      </c>
      <c r="E53" s="117">
        <v>259000</v>
      </c>
      <c r="F53" s="29">
        <v>215135</v>
      </c>
      <c r="G53" s="28">
        <f t="shared" si="1"/>
        <v>0.83063706563706563</v>
      </c>
    </row>
    <row r="54" spans="1:7" s="14" customFormat="1" ht="12" x14ac:dyDescent="0.2">
      <c r="A54" s="51" t="s">
        <v>83</v>
      </c>
      <c r="B54" s="90" t="s">
        <v>85</v>
      </c>
      <c r="C54" s="52"/>
      <c r="D54" s="34">
        <f t="shared" ref="D54" si="6">D53</f>
        <v>201000</v>
      </c>
      <c r="E54" s="34">
        <f>E53</f>
        <v>259000</v>
      </c>
      <c r="F54" s="34">
        <f>F53</f>
        <v>215135</v>
      </c>
      <c r="G54" s="33">
        <f t="shared" si="1"/>
        <v>0.83063706563706563</v>
      </c>
    </row>
    <row r="55" spans="1:7" s="14" customFormat="1" ht="12" x14ac:dyDescent="0.2">
      <c r="A55" s="45" t="s">
        <v>86</v>
      </c>
      <c r="B55" s="87" t="s">
        <v>39</v>
      </c>
      <c r="C55" s="45" t="s">
        <v>87</v>
      </c>
      <c r="D55" s="26">
        <v>794000</v>
      </c>
      <c r="E55" s="117">
        <v>471000</v>
      </c>
      <c r="F55" s="29">
        <v>469706.99</v>
      </c>
      <c r="G55" s="28">
        <f t="shared" si="1"/>
        <v>0.9972547558386412</v>
      </c>
    </row>
    <row r="56" spans="1:7" s="14" customFormat="1" ht="12" x14ac:dyDescent="0.2">
      <c r="A56" s="45" t="s">
        <v>86</v>
      </c>
      <c r="B56" s="87" t="s">
        <v>29</v>
      </c>
      <c r="C56" s="45" t="s">
        <v>88</v>
      </c>
      <c r="D56" s="26">
        <v>10000</v>
      </c>
      <c r="E56" s="117">
        <v>25000</v>
      </c>
      <c r="F56" s="29">
        <v>19100</v>
      </c>
      <c r="G56" s="28">
        <f t="shared" si="1"/>
        <v>0.76400000000000001</v>
      </c>
    </row>
    <row r="57" spans="1:7" s="14" customFormat="1" ht="12" x14ac:dyDescent="0.2">
      <c r="A57" s="45" t="s">
        <v>86</v>
      </c>
      <c r="B57" s="87" t="s">
        <v>17</v>
      </c>
      <c r="C57" s="45" t="s">
        <v>58</v>
      </c>
      <c r="D57" s="26">
        <v>0</v>
      </c>
      <c r="E57" s="117">
        <v>150000</v>
      </c>
      <c r="F57" s="29">
        <v>131395</v>
      </c>
      <c r="G57" s="28">
        <f t="shared" ref="G57" si="7">F57/E57</f>
        <v>0.87596666666666667</v>
      </c>
    </row>
    <row r="58" spans="1:7" s="14" customFormat="1" ht="12" x14ac:dyDescent="0.2">
      <c r="A58" s="45" t="s">
        <v>86</v>
      </c>
      <c r="B58" s="87" t="s">
        <v>52</v>
      </c>
      <c r="C58" s="45" t="s">
        <v>155</v>
      </c>
      <c r="D58" s="26">
        <v>900000</v>
      </c>
      <c r="E58" s="117">
        <v>600000</v>
      </c>
      <c r="F58" s="29">
        <v>597760.92000000004</v>
      </c>
      <c r="G58" s="28">
        <f t="shared" si="1"/>
        <v>0.99626820000000005</v>
      </c>
    </row>
    <row r="59" spans="1:7" s="14" customFormat="1" ht="12" x14ac:dyDescent="0.2">
      <c r="A59" s="45" t="s">
        <v>86</v>
      </c>
      <c r="B59" s="87" t="s">
        <v>53</v>
      </c>
      <c r="C59" s="45" t="s">
        <v>89</v>
      </c>
      <c r="D59" s="26">
        <v>80000</v>
      </c>
      <c r="E59" s="117">
        <v>220000</v>
      </c>
      <c r="F59" s="29">
        <v>142596.23000000001</v>
      </c>
      <c r="G59" s="28">
        <f t="shared" si="1"/>
        <v>0.64816468181818188</v>
      </c>
    </row>
    <row r="60" spans="1:7" s="14" customFormat="1" ht="12" x14ac:dyDescent="0.2">
      <c r="A60" s="51" t="s">
        <v>86</v>
      </c>
      <c r="B60" s="90" t="s">
        <v>90</v>
      </c>
      <c r="C60" s="52"/>
      <c r="D60" s="34">
        <f t="shared" ref="D60" si="8">SUM(D55:D59)</f>
        <v>1784000</v>
      </c>
      <c r="E60" s="34">
        <f>SUM(E55:E59)</f>
        <v>1466000</v>
      </c>
      <c r="F60" s="34">
        <f>SUM(F55:F59)</f>
        <v>1360559.1400000001</v>
      </c>
      <c r="G60" s="33">
        <f t="shared" si="1"/>
        <v>0.92807581173260578</v>
      </c>
    </row>
    <row r="61" spans="1:7" s="14" customFormat="1" ht="12" x14ac:dyDescent="0.2">
      <c r="A61" s="106" t="s">
        <v>200</v>
      </c>
      <c r="B61" s="107" t="s">
        <v>29</v>
      </c>
      <c r="C61" s="106" t="s">
        <v>201</v>
      </c>
      <c r="D61" s="108">
        <v>0</v>
      </c>
      <c r="E61" s="108">
        <v>0</v>
      </c>
      <c r="F61" s="29">
        <v>19906</v>
      </c>
      <c r="G61" s="28"/>
    </row>
    <row r="62" spans="1:7" s="14" customFormat="1" ht="12" x14ac:dyDescent="0.2">
      <c r="A62" s="113" t="s">
        <v>200</v>
      </c>
      <c r="B62" s="114" t="s">
        <v>202</v>
      </c>
      <c r="C62" s="114"/>
      <c r="D62" s="115">
        <v>0</v>
      </c>
      <c r="E62" s="115">
        <v>0</v>
      </c>
      <c r="F62" s="115">
        <f>F61</f>
        <v>19906</v>
      </c>
      <c r="G62" s="115"/>
    </row>
    <row r="63" spans="1:7" s="14" customFormat="1" ht="12.75" thickBot="1" x14ac:dyDescent="0.25">
      <c r="A63" s="53" t="s">
        <v>91</v>
      </c>
      <c r="B63" s="91"/>
      <c r="C63" s="54"/>
      <c r="D63" s="55">
        <f>D49+D52+D54+D60</f>
        <v>57175000</v>
      </c>
      <c r="E63" s="55">
        <f>E49+E52+E54+E60</f>
        <v>70835000</v>
      </c>
      <c r="F63" s="55">
        <f>F49+F52+F54+F60+F62</f>
        <v>70499421.140000001</v>
      </c>
      <c r="G63" s="38">
        <f t="shared" si="1"/>
        <v>0.99526252756405731</v>
      </c>
    </row>
    <row r="64" spans="1:7" s="14" customFormat="1" ht="12" x14ac:dyDescent="0.2">
      <c r="A64" s="39" t="s">
        <v>164</v>
      </c>
      <c r="B64" s="92" t="s">
        <v>55</v>
      </c>
      <c r="C64" s="39" t="s">
        <v>165</v>
      </c>
      <c r="D64" s="40">
        <v>60000</v>
      </c>
      <c r="E64" s="117">
        <v>47000</v>
      </c>
      <c r="F64" s="57">
        <v>40650</v>
      </c>
      <c r="G64" s="59">
        <f t="shared" si="1"/>
        <v>0.86489361702127665</v>
      </c>
    </row>
    <row r="65" spans="1:7" s="14" customFormat="1" ht="12" x14ac:dyDescent="0.2">
      <c r="A65" s="51" t="s">
        <v>164</v>
      </c>
      <c r="B65" s="90" t="s">
        <v>166</v>
      </c>
      <c r="C65" s="52"/>
      <c r="D65" s="34">
        <f t="shared" ref="D65:D66" si="9">D64</f>
        <v>60000</v>
      </c>
      <c r="E65" s="34">
        <f>E64</f>
        <v>47000</v>
      </c>
      <c r="F65" s="34">
        <f>F64</f>
        <v>40650</v>
      </c>
      <c r="G65" s="60">
        <f t="shared" si="1"/>
        <v>0.86489361702127665</v>
      </c>
    </row>
    <row r="66" spans="1:7" s="14" customFormat="1" ht="12.75" thickBot="1" x14ac:dyDescent="0.25">
      <c r="A66" s="53" t="s">
        <v>167</v>
      </c>
      <c r="B66" s="91"/>
      <c r="C66" s="54"/>
      <c r="D66" s="55">
        <f t="shared" si="9"/>
        <v>60000</v>
      </c>
      <c r="E66" s="55">
        <f>E65</f>
        <v>47000</v>
      </c>
      <c r="F66" s="55">
        <f>F65</f>
        <v>40650</v>
      </c>
      <c r="G66" s="61">
        <f t="shared" si="1"/>
        <v>0.86489361702127665</v>
      </c>
    </row>
    <row r="67" spans="1:7" s="14" customFormat="1" ht="12" x14ac:dyDescent="0.2">
      <c r="A67" s="39" t="s">
        <v>173</v>
      </c>
      <c r="B67" s="92" t="s">
        <v>39</v>
      </c>
      <c r="C67" s="39" t="s">
        <v>174</v>
      </c>
      <c r="D67" s="40">
        <v>0</v>
      </c>
      <c r="E67" s="40">
        <v>0</v>
      </c>
      <c r="F67" s="40">
        <v>0</v>
      </c>
      <c r="G67" s="59"/>
    </row>
    <row r="68" spans="1:7" s="14" customFormat="1" ht="12" x14ac:dyDescent="0.2">
      <c r="A68" s="51" t="s">
        <v>173</v>
      </c>
      <c r="B68" s="90" t="s">
        <v>174</v>
      </c>
      <c r="C68" s="52"/>
      <c r="D68" s="34">
        <v>0</v>
      </c>
      <c r="E68" s="34">
        <v>0</v>
      </c>
      <c r="F68" s="34">
        <v>0</v>
      </c>
      <c r="G68" s="60"/>
    </row>
    <row r="69" spans="1:7" s="14" customFormat="1" ht="12.75" thickBot="1" x14ac:dyDescent="0.25">
      <c r="A69" s="53" t="s">
        <v>175</v>
      </c>
      <c r="B69" s="91"/>
      <c r="C69" s="54"/>
      <c r="D69" s="55">
        <v>0</v>
      </c>
      <c r="E69" s="55">
        <v>0</v>
      </c>
      <c r="F69" s="55">
        <v>0</v>
      </c>
      <c r="G69" s="61"/>
    </row>
    <row r="70" spans="1:7" s="14" customFormat="1" ht="12" x14ac:dyDescent="0.2">
      <c r="A70" s="39" t="s">
        <v>92</v>
      </c>
      <c r="B70" s="92" t="s">
        <v>39</v>
      </c>
      <c r="C70" s="39" t="s">
        <v>93</v>
      </c>
      <c r="D70" s="40">
        <v>105000</v>
      </c>
      <c r="E70" s="117">
        <v>267000</v>
      </c>
      <c r="F70" s="40">
        <v>276680</v>
      </c>
      <c r="G70" s="62">
        <f t="shared" si="1"/>
        <v>1.0362546816479401</v>
      </c>
    </row>
    <row r="71" spans="1:7" s="14" customFormat="1" ht="12.75" thickBot="1" x14ac:dyDescent="0.25">
      <c r="A71" s="109" t="s">
        <v>92</v>
      </c>
      <c r="B71" s="110" t="s">
        <v>94</v>
      </c>
      <c r="C71" s="111"/>
      <c r="D71" s="112">
        <v>105000</v>
      </c>
      <c r="E71" s="112">
        <f>E70</f>
        <v>267000</v>
      </c>
      <c r="F71" s="112">
        <f>F70</f>
        <v>276680</v>
      </c>
      <c r="G71" s="63">
        <f t="shared" si="1"/>
        <v>1.0362546816479401</v>
      </c>
    </row>
    <row r="72" spans="1:7" s="14" customFormat="1" ht="12" x14ac:dyDescent="0.2">
      <c r="A72" s="64" t="s">
        <v>180</v>
      </c>
      <c r="B72" s="65" t="s">
        <v>39</v>
      </c>
      <c r="C72" s="64" t="s">
        <v>181</v>
      </c>
      <c r="D72" s="27">
        <v>0</v>
      </c>
      <c r="E72" s="27">
        <v>0</v>
      </c>
      <c r="F72" s="27">
        <v>0</v>
      </c>
      <c r="G72" s="62"/>
    </row>
    <row r="73" spans="1:7" s="14" customFormat="1" ht="12" x14ac:dyDescent="0.2">
      <c r="A73" s="67" t="s">
        <v>180</v>
      </c>
      <c r="B73" s="68" t="s">
        <v>179</v>
      </c>
      <c r="C73" s="68"/>
      <c r="D73" s="34">
        <v>0</v>
      </c>
      <c r="E73" s="34">
        <v>0</v>
      </c>
      <c r="F73" s="34">
        <v>0</v>
      </c>
      <c r="G73" s="63"/>
    </row>
    <row r="74" spans="1:7" s="14" customFormat="1" ht="12" x14ac:dyDescent="0.2">
      <c r="A74" s="106" t="s">
        <v>95</v>
      </c>
      <c r="B74" s="107" t="s">
        <v>39</v>
      </c>
      <c r="C74" s="106" t="s">
        <v>192</v>
      </c>
      <c r="D74" s="108">
        <v>0</v>
      </c>
      <c r="E74" s="29">
        <v>0</v>
      </c>
      <c r="F74" s="29">
        <v>0</v>
      </c>
      <c r="G74" s="69"/>
    </row>
    <row r="75" spans="1:7" s="14" customFormat="1" ht="12" x14ac:dyDescent="0.2">
      <c r="A75" s="45" t="s">
        <v>95</v>
      </c>
      <c r="B75" s="87" t="s">
        <v>35</v>
      </c>
      <c r="C75" s="45" t="s">
        <v>96</v>
      </c>
      <c r="D75" s="29">
        <v>500000</v>
      </c>
      <c r="E75" s="117">
        <v>811337.14</v>
      </c>
      <c r="F75" s="169">
        <v>545350.89</v>
      </c>
      <c r="G75" s="69">
        <f t="shared" si="1"/>
        <v>0.67216310349110853</v>
      </c>
    </row>
    <row r="76" spans="1:7" s="14" customFormat="1" ht="12" x14ac:dyDescent="0.2">
      <c r="A76" s="51" t="s">
        <v>95</v>
      </c>
      <c r="B76" s="90" t="s">
        <v>97</v>
      </c>
      <c r="C76" s="52"/>
      <c r="D76" s="34">
        <f>D75</f>
        <v>500000</v>
      </c>
      <c r="E76" s="34">
        <f>SUM(E74:E75)</f>
        <v>811337.14</v>
      </c>
      <c r="F76" s="34">
        <f>SUM(F74:F75)</f>
        <v>545350.89</v>
      </c>
      <c r="G76" s="63">
        <f t="shared" si="1"/>
        <v>0.67216310349110853</v>
      </c>
    </row>
    <row r="77" spans="1:7" s="14" customFormat="1" ht="12.75" thickBot="1" x14ac:dyDescent="0.25">
      <c r="A77" s="53" t="s">
        <v>98</v>
      </c>
      <c r="B77" s="91"/>
      <c r="C77" s="54"/>
      <c r="D77" s="55">
        <f>D71+D76</f>
        <v>605000</v>
      </c>
      <c r="E77" s="55">
        <f>SUM(E71+E73+E76)</f>
        <v>1078337.1400000001</v>
      </c>
      <c r="F77" s="55">
        <f>F71+F73+F76</f>
        <v>822030.89</v>
      </c>
      <c r="G77" s="70">
        <f t="shared" si="1"/>
        <v>0.76231343566632592</v>
      </c>
    </row>
    <row r="78" spans="1:7" s="14" customFormat="1" ht="12" x14ac:dyDescent="0.2">
      <c r="A78" s="24" t="s">
        <v>156</v>
      </c>
      <c r="B78" s="25" t="s">
        <v>39</v>
      </c>
      <c r="C78" s="24" t="s">
        <v>157</v>
      </c>
      <c r="D78" s="26">
        <v>1000</v>
      </c>
      <c r="E78" s="26">
        <v>1000</v>
      </c>
      <c r="F78" s="26">
        <v>1890</v>
      </c>
      <c r="G78" s="28">
        <f t="shared" ref="G78:G102" si="10">F78/E78</f>
        <v>1.89</v>
      </c>
    </row>
    <row r="79" spans="1:7" s="14" customFormat="1" ht="12" x14ac:dyDescent="0.2">
      <c r="A79" s="30" t="s">
        <v>156</v>
      </c>
      <c r="B79" s="31" t="s">
        <v>158</v>
      </c>
      <c r="C79" s="31"/>
      <c r="D79" s="71">
        <v>1000</v>
      </c>
      <c r="E79" s="71">
        <f>E78</f>
        <v>1000</v>
      </c>
      <c r="F79" s="71">
        <f>F78</f>
        <v>1890</v>
      </c>
      <c r="G79" s="33">
        <f t="shared" si="10"/>
        <v>1.89</v>
      </c>
    </row>
    <row r="80" spans="1:7" s="14" customFormat="1" ht="12.75" thickBot="1" x14ac:dyDescent="0.25">
      <c r="A80" s="72" t="s">
        <v>159</v>
      </c>
      <c r="B80" s="73"/>
      <c r="C80" s="73"/>
      <c r="D80" s="74">
        <v>1000</v>
      </c>
      <c r="E80" s="74">
        <f>E79</f>
        <v>1000</v>
      </c>
      <c r="F80" s="74">
        <f>F79</f>
        <v>1890</v>
      </c>
      <c r="G80" s="75">
        <f t="shared" si="10"/>
        <v>1.89</v>
      </c>
    </row>
    <row r="81" spans="1:12" s="14" customFormat="1" ht="12.75" thickBot="1" x14ac:dyDescent="0.25">
      <c r="A81" s="76" t="s">
        <v>99</v>
      </c>
      <c r="B81" s="76"/>
      <c r="C81" s="76"/>
      <c r="D81" s="77">
        <f>D21+D44+D63+D66+D69+D77+D80</f>
        <v>93801000</v>
      </c>
      <c r="E81" s="77">
        <f>E21+E44+E63+E66+E69+E77+E80</f>
        <v>109001337.14</v>
      </c>
      <c r="F81" s="77">
        <f>F21+F44+F63+F66+F69+F77+F80</f>
        <v>107248383.29000001</v>
      </c>
      <c r="G81" s="78">
        <f t="shared" si="10"/>
        <v>0.98391805186987269</v>
      </c>
      <c r="I81" s="116"/>
    </row>
    <row r="82" spans="1:12" s="14" customFormat="1" ht="12" x14ac:dyDescent="0.2">
      <c r="A82" s="79" t="s">
        <v>100</v>
      </c>
      <c r="B82" s="85" t="s">
        <v>55</v>
      </c>
      <c r="C82" s="79" t="s">
        <v>101</v>
      </c>
      <c r="D82" s="27">
        <v>990000</v>
      </c>
      <c r="E82" s="27">
        <v>1220000</v>
      </c>
      <c r="F82" s="170">
        <v>1233670</v>
      </c>
      <c r="G82" s="66">
        <f t="shared" si="10"/>
        <v>1.0112049180327869</v>
      </c>
      <c r="I82" s="14" t="s">
        <v>219</v>
      </c>
      <c r="K82" s="14" t="s">
        <v>215</v>
      </c>
      <c r="L82" s="14" t="s">
        <v>217</v>
      </c>
    </row>
    <row r="83" spans="1:12" s="14" customFormat="1" ht="12" x14ac:dyDescent="0.2">
      <c r="A83" s="45" t="s">
        <v>100</v>
      </c>
      <c r="B83" s="87" t="s">
        <v>57</v>
      </c>
      <c r="C83" s="45" t="s">
        <v>102</v>
      </c>
      <c r="D83" s="29">
        <v>350000</v>
      </c>
      <c r="E83" s="29">
        <v>1040000</v>
      </c>
      <c r="F83" s="164">
        <v>1148329</v>
      </c>
      <c r="G83" s="80">
        <f t="shared" si="10"/>
        <v>1.1041624999999999</v>
      </c>
      <c r="I83" s="165" t="s">
        <v>220</v>
      </c>
      <c r="J83" s="116">
        <f>F84+F85</f>
        <v>98326612.209999993</v>
      </c>
      <c r="K83" s="103">
        <f t="shared" ref="K83:K84" si="11">J83/1000</f>
        <v>98326.612209999992</v>
      </c>
      <c r="L83" s="158" t="s">
        <v>218</v>
      </c>
    </row>
    <row r="84" spans="1:12" s="14" customFormat="1" ht="12" x14ac:dyDescent="0.2">
      <c r="A84" s="45" t="s">
        <v>100</v>
      </c>
      <c r="B84" s="87" t="s">
        <v>103</v>
      </c>
      <c r="C84" s="45" t="s">
        <v>104</v>
      </c>
      <c r="D84" s="29">
        <v>82500000</v>
      </c>
      <c r="E84" s="29">
        <v>98500000</v>
      </c>
      <c r="F84" s="167">
        <v>98288460.439999998</v>
      </c>
      <c r="G84" s="80">
        <f t="shared" si="10"/>
        <v>0.99785239025380712</v>
      </c>
      <c r="I84" s="157" t="s">
        <v>221</v>
      </c>
      <c r="J84" s="116">
        <f>F82+F83+F86+F89+F91+F94+F95</f>
        <v>2513036.5500000003</v>
      </c>
      <c r="K84" s="103">
        <f t="shared" si="11"/>
        <v>2513.0365500000003</v>
      </c>
      <c r="L84" s="158" t="s">
        <v>218</v>
      </c>
    </row>
    <row r="85" spans="1:12" s="14" customFormat="1" ht="12" x14ac:dyDescent="0.2">
      <c r="A85" s="45" t="s">
        <v>100</v>
      </c>
      <c r="B85" s="87" t="s">
        <v>105</v>
      </c>
      <c r="C85" s="45" t="s">
        <v>106</v>
      </c>
      <c r="D85" s="29">
        <v>20000</v>
      </c>
      <c r="E85" s="29">
        <v>35000</v>
      </c>
      <c r="F85" s="167">
        <v>38151.769999999997</v>
      </c>
      <c r="G85" s="80">
        <f t="shared" si="10"/>
        <v>1.0900505714285713</v>
      </c>
    </row>
    <row r="86" spans="1:12" s="14" customFormat="1" ht="12" x14ac:dyDescent="0.2">
      <c r="A86" s="45" t="s">
        <v>100</v>
      </c>
      <c r="B86" s="87" t="s">
        <v>107</v>
      </c>
      <c r="C86" s="45" t="s">
        <v>108</v>
      </c>
      <c r="D86" s="29">
        <v>0</v>
      </c>
      <c r="E86" s="29">
        <v>15000</v>
      </c>
      <c r="F86" s="164">
        <v>16268</v>
      </c>
      <c r="G86" s="80">
        <f t="shared" si="10"/>
        <v>1.0845333333333333</v>
      </c>
    </row>
    <row r="87" spans="1:12" s="14" customFormat="1" ht="12" x14ac:dyDescent="0.2">
      <c r="A87" s="51" t="s">
        <v>100</v>
      </c>
      <c r="B87" s="90" t="s">
        <v>109</v>
      </c>
      <c r="C87" s="52"/>
      <c r="D87" s="34">
        <f t="shared" ref="D87" si="12">SUM(D82:D86)</f>
        <v>83860000</v>
      </c>
      <c r="E87" s="34">
        <f>SUM(E82:E86)</f>
        <v>100810000</v>
      </c>
      <c r="F87" s="34">
        <f>SUM(F82:F86)</f>
        <v>100724879.20999999</v>
      </c>
      <c r="G87" s="60">
        <f t="shared" si="10"/>
        <v>0.99915563148497166</v>
      </c>
    </row>
    <row r="88" spans="1:12" s="14" customFormat="1" ht="12.75" thickBot="1" x14ac:dyDescent="0.25">
      <c r="A88" s="53" t="s">
        <v>110</v>
      </c>
      <c r="B88" s="91"/>
      <c r="C88" s="54"/>
      <c r="D88" s="55">
        <f t="shared" ref="D88" si="13">D87</f>
        <v>83860000</v>
      </c>
      <c r="E88" s="55">
        <f>E87</f>
        <v>100810000</v>
      </c>
      <c r="F88" s="55">
        <f>F87</f>
        <v>100724879.20999999</v>
      </c>
      <c r="G88" s="61">
        <f t="shared" si="10"/>
        <v>0.99915563148497166</v>
      </c>
    </row>
    <row r="89" spans="1:12" s="14" customFormat="1" ht="12" x14ac:dyDescent="0.2">
      <c r="A89" s="39" t="s">
        <v>111</v>
      </c>
      <c r="B89" s="92" t="s">
        <v>194</v>
      </c>
      <c r="C89" s="39" t="s">
        <v>195</v>
      </c>
      <c r="D89" s="40">
        <v>0</v>
      </c>
      <c r="E89" s="40">
        <v>0</v>
      </c>
      <c r="F89" s="171">
        <v>2772</v>
      </c>
      <c r="G89" s="59"/>
    </row>
    <row r="90" spans="1:12" s="14" customFormat="1" ht="12" x14ac:dyDescent="0.2">
      <c r="A90" s="51" t="s">
        <v>111</v>
      </c>
      <c r="B90" s="90" t="s">
        <v>112</v>
      </c>
      <c r="C90" s="52"/>
      <c r="D90" s="34">
        <v>0</v>
      </c>
      <c r="E90" s="34">
        <v>0</v>
      </c>
      <c r="F90" s="34">
        <f>F89</f>
        <v>2772</v>
      </c>
      <c r="G90" s="60"/>
    </row>
    <row r="91" spans="1:12" s="14" customFormat="1" ht="12" x14ac:dyDescent="0.2">
      <c r="A91" s="45" t="s">
        <v>160</v>
      </c>
      <c r="B91" s="87" t="s">
        <v>17</v>
      </c>
      <c r="C91" s="45" t="s">
        <v>161</v>
      </c>
      <c r="D91" s="29">
        <v>0</v>
      </c>
      <c r="E91" s="29">
        <v>0</v>
      </c>
      <c r="F91" s="164">
        <v>19906</v>
      </c>
      <c r="G91" s="80"/>
    </row>
    <row r="92" spans="1:12" s="14" customFormat="1" ht="12" x14ac:dyDescent="0.2">
      <c r="A92" s="51" t="s">
        <v>160</v>
      </c>
      <c r="B92" s="90" t="s">
        <v>162</v>
      </c>
      <c r="C92" s="52"/>
      <c r="D92" s="34">
        <v>0</v>
      </c>
      <c r="E92" s="34">
        <v>0</v>
      </c>
      <c r="F92" s="34">
        <f>F91</f>
        <v>19906</v>
      </c>
      <c r="G92" s="60"/>
    </row>
    <row r="93" spans="1:12" s="14" customFormat="1" ht="12.75" thickBot="1" x14ac:dyDescent="0.25">
      <c r="A93" s="53" t="s">
        <v>113</v>
      </c>
      <c r="B93" s="91"/>
      <c r="C93" s="54"/>
      <c r="D93" s="55">
        <v>0</v>
      </c>
      <c r="E93" s="55">
        <v>0</v>
      </c>
      <c r="F93" s="55">
        <f>F90+F92</f>
        <v>22678</v>
      </c>
      <c r="G93" s="70"/>
    </row>
    <row r="94" spans="1:12" s="14" customFormat="1" ht="12" x14ac:dyDescent="0.2">
      <c r="A94" s="39" t="s">
        <v>114</v>
      </c>
      <c r="B94" s="92" t="s">
        <v>39</v>
      </c>
      <c r="C94" s="39" t="s">
        <v>115</v>
      </c>
      <c r="D94" s="40">
        <v>2000</v>
      </c>
      <c r="E94" s="40">
        <v>2000</v>
      </c>
      <c r="F94" s="171">
        <v>1302.6600000000001</v>
      </c>
      <c r="G94" s="62">
        <f t="shared" ref="G94" si="14">F94/E94</f>
        <v>0.65133000000000008</v>
      </c>
    </row>
    <row r="95" spans="1:12" s="14" customFormat="1" ht="12" x14ac:dyDescent="0.2">
      <c r="A95" s="79" t="s">
        <v>114</v>
      </c>
      <c r="B95" s="85" t="s">
        <v>35</v>
      </c>
      <c r="C95" s="79" t="s">
        <v>182</v>
      </c>
      <c r="D95" s="27">
        <v>0</v>
      </c>
      <c r="E95" s="27">
        <v>300000</v>
      </c>
      <c r="F95" s="170">
        <v>90788.89</v>
      </c>
      <c r="G95" s="66">
        <f t="shared" si="10"/>
        <v>0.30262963333333331</v>
      </c>
    </row>
    <row r="96" spans="1:12" s="14" customFormat="1" ht="12" x14ac:dyDescent="0.2">
      <c r="A96" s="51" t="s">
        <v>114</v>
      </c>
      <c r="B96" s="90" t="s">
        <v>116</v>
      </c>
      <c r="C96" s="52"/>
      <c r="D96" s="34">
        <v>2000</v>
      </c>
      <c r="E96" s="34">
        <f>SUM(E94:E95)</f>
        <v>302000</v>
      </c>
      <c r="F96" s="34">
        <f>SUM(F94:F95)</f>
        <v>92091.55</v>
      </c>
      <c r="G96" s="63">
        <f t="shared" si="10"/>
        <v>0.30493890728476825</v>
      </c>
    </row>
    <row r="97" spans="1:7" s="14" customFormat="1" ht="12.75" thickBot="1" x14ac:dyDescent="0.25">
      <c r="A97" s="53" t="s">
        <v>117</v>
      </c>
      <c r="B97" s="91"/>
      <c r="C97" s="54"/>
      <c r="D97" s="55">
        <v>2000</v>
      </c>
      <c r="E97" s="55">
        <f>E96</f>
        <v>302000</v>
      </c>
      <c r="F97" s="55">
        <f>F96</f>
        <v>92091.55</v>
      </c>
      <c r="G97" s="70">
        <f t="shared" si="10"/>
        <v>0.30493890728476825</v>
      </c>
    </row>
    <row r="98" spans="1:7" s="14" customFormat="1" ht="12" x14ac:dyDescent="0.2">
      <c r="A98" s="24" t="s">
        <v>118</v>
      </c>
      <c r="B98" s="25" t="s">
        <v>35</v>
      </c>
      <c r="C98" s="24" t="s">
        <v>119</v>
      </c>
      <c r="D98" s="26">
        <v>10000000</v>
      </c>
      <c r="E98" s="26">
        <v>7235337.1399999997</v>
      </c>
      <c r="F98" s="26">
        <v>5754734.5300000003</v>
      </c>
      <c r="G98" s="28">
        <f t="shared" si="10"/>
        <v>0.79536508370638281</v>
      </c>
    </row>
    <row r="99" spans="1:7" s="14" customFormat="1" ht="12" x14ac:dyDescent="0.2">
      <c r="A99" s="24" t="s">
        <v>118</v>
      </c>
      <c r="B99" s="25" t="s">
        <v>103</v>
      </c>
      <c r="C99" s="24" t="s">
        <v>120</v>
      </c>
      <c r="D99" s="26">
        <v>0</v>
      </c>
      <c r="E99" s="26">
        <v>654000</v>
      </c>
      <c r="F99" s="26">
        <v>654000</v>
      </c>
      <c r="G99" s="28">
        <f t="shared" si="10"/>
        <v>1</v>
      </c>
    </row>
    <row r="100" spans="1:7" s="14" customFormat="1" ht="12" x14ac:dyDescent="0.2">
      <c r="A100" s="51" t="s">
        <v>118</v>
      </c>
      <c r="B100" s="90" t="s">
        <v>121</v>
      </c>
      <c r="C100" s="52"/>
      <c r="D100" s="8">
        <f>SUM(D98:D99)</f>
        <v>10000000</v>
      </c>
      <c r="E100" s="8">
        <f>SUM(E98:E99)</f>
        <v>7889337.1399999997</v>
      </c>
      <c r="F100" s="8">
        <f>SUM(F98:F99)</f>
        <v>6408734.5300000003</v>
      </c>
      <c r="G100" s="63">
        <f t="shared" si="10"/>
        <v>0.81232864260634208</v>
      </c>
    </row>
    <row r="101" spans="1:7" s="14" customFormat="1" ht="12.75" thickBot="1" x14ac:dyDescent="0.25">
      <c r="A101" s="53" t="s">
        <v>122</v>
      </c>
      <c r="B101" s="91"/>
      <c r="C101" s="54"/>
      <c r="D101" s="9">
        <f t="shared" ref="D101" si="15">D100</f>
        <v>10000000</v>
      </c>
      <c r="E101" s="9">
        <f>E100</f>
        <v>7889337.1399999997</v>
      </c>
      <c r="F101" s="9">
        <f>F100</f>
        <v>6408734.5300000003</v>
      </c>
      <c r="G101" s="70">
        <f t="shared" si="10"/>
        <v>0.81232864260634208</v>
      </c>
    </row>
    <row r="102" spans="1:7" s="14" customFormat="1" ht="12.75" thickBot="1" x14ac:dyDescent="0.25">
      <c r="A102" s="81" t="s">
        <v>123</v>
      </c>
      <c r="B102" s="93"/>
      <c r="C102" s="81"/>
      <c r="D102" s="82">
        <f>D88+D93+D97+D101</f>
        <v>93862000</v>
      </c>
      <c r="E102" s="82">
        <f>E88+E93+E97+E101</f>
        <v>109001337.14</v>
      </c>
      <c r="F102" s="82">
        <f>F88+F93+F97+F101</f>
        <v>107248383.28999999</v>
      </c>
      <c r="G102" s="83">
        <f t="shared" si="10"/>
        <v>0.98391805186987258</v>
      </c>
    </row>
    <row r="103" spans="1:7" s="14" customFormat="1" ht="12.75" thickBot="1" x14ac:dyDescent="0.25">
      <c r="A103" s="81" t="s">
        <v>124</v>
      </c>
      <c r="B103" s="93"/>
      <c r="C103" s="81"/>
      <c r="D103" s="77">
        <v>0</v>
      </c>
      <c r="E103" s="77">
        <f>E102-E81</f>
        <v>0</v>
      </c>
      <c r="F103" s="77">
        <f>F102-F81</f>
        <v>0</v>
      </c>
      <c r="G103" s="84"/>
    </row>
    <row r="105" spans="1:7" s="14" customFormat="1" ht="12" x14ac:dyDescent="0.2">
      <c r="A105" s="100" t="s">
        <v>184</v>
      </c>
      <c r="B105" s="101"/>
      <c r="C105" s="102"/>
      <c r="D105" s="103"/>
      <c r="E105" s="103"/>
      <c r="F105" s="103"/>
      <c r="G105" s="102"/>
    </row>
    <row r="106" spans="1:7" s="14" customFormat="1" ht="12" x14ac:dyDescent="0.2">
      <c r="A106" s="100" t="s">
        <v>170</v>
      </c>
      <c r="B106" s="101"/>
      <c r="C106" s="102"/>
      <c r="D106" s="103"/>
      <c r="E106" s="103"/>
      <c r="F106" s="103"/>
      <c r="G106" s="102"/>
    </row>
    <row r="107" spans="1:7" s="14" customFormat="1" ht="12" x14ac:dyDescent="0.2">
      <c r="A107" s="100" t="s">
        <v>205</v>
      </c>
      <c r="B107" s="101"/>
      <c r="C107" s="102"/>
      <c r="D107" s="103"/>
      <c r="E107" s="103"/>
      <c r="F107" s="103"/>
      <c r="G107" s="102"/>
    </row>
  </sheetData>
  <pageMargins left="0.39370078740157483" right="0.39370078740157483" top="0.39370078740157483" bottom="0.39370078740157483" header="0.39370078740157483" footer="0.59055118110236227"/>
  <pageSetup paperSize="9" fitToHeight="2" orientation="portrait" r:id="rId1"/>
  <rowBreaks count="1" manualBreakCount="1">
    <brk id="6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zoomScaleNormal="100" workbookViewId="0">
      <selection activeCell="B50" sqref="B50"/>
    </sheetView>
  </sheetViews>
  <sheetFormatPr defaultRowHeight="15" x14ac:dyDescent="0.25"/>
  <cols>
    <col min="1" max="1" width="44.42578125" customWidth="1"/>
    <col min="2" max="2" width="12.42578125" bestFit="1" customWidth="1"/>
    <col min="3" max="3" width="11.5703125" bestFit="1" customWidth="1"/>
    <col min="4" max="4" width="11" bestFit="1" customWidth="1"/>
    <col min="5" max="5" width="11.5703125" bestFit="1" customWidth="1"/>
  </cols>
  <sheetData>
    <row r="1" spans="1:9" ht="19.5" x14ac:dyDescent="0.3">
      <c r="A1" s="172" t="s">
        <v>204</v>
      </c>
      <c r="B1" s="172"/>
      <c r="C1" s="172"/>
      <c r="D1" s="172"/>
      <c r="E1" s="172"/>
    </row>
    <row r="2" spans="1:9" ht="15.75" x14ac:dyDescent="0.25">
      <c r="A2" s="2" t="s">
        <v>125</v>
      </c>
      <c r="C2" s="3"/>
      <c r="E2" s="5"/>
    </row>
    <row r="3" spans="1:9" ht="15.75" thickBot="1" x14ac:dyDescent="0.3">
      <c r="A3" s="10" t="s">
        <v>150</v>
      </c>
      <c r="C3" s="3"/>
      <c r="D3" s="4"/>
      <c r="E3" s="5"/>
    </row>
    <row r="4" spans="1:9" ht="14.1" customHeight="1" x14ac:dyDescent="0.25">
      <c r="A4" s="10" t="s">
        <v>151</v>
      </c>
      <c r="B4" s="118" t="s">
        <v>177</v>
      </c>
      <c r="C4" s="119" t="s">
        <v>152</v>
      </c>
      <c r="D4" s="120" t="s">
        <v>153</v>
      </c>
      <c r="E4" s="121" t="s">
        <v>152</v>
      </c>
    </row>
    <row r="5" spans="1:9" ht="14.1" customHeight="1" thickBot="1" x14ac:dyDescent="0.3">
      <c r="A5" s="122"/>
      <c r="B5" s="123" t="s">
        <v>189</v>
      </c>
      <c r="C5" s="124" t="s">
        <v>206</v>
      </c>
      <c r="D5" s="125" t="s">
        <v>154</v>
      </c>
      <c r="E5" s="126" t="s">
        <v>209</v>
      </c>
    </row>
    <row r="6" spans="1:9" ht="14.1" customHeight="1" x14ac:dyDescent="0.25">
      <c r="A6" s="127" t="s">
        <v>123</v>
      </c>
      <c r="B6" s="128">
        <f>B7+B8</f>
        <v>101112</v>
      </c>
      <c r="C6" s="128">
        <f>C7+C8</f>
        <v>100839.64876</v>
      </c>
      <c r="D6" s="129">
        <f t="shared" ref="D6:D32" si="0">C6/B6*100</f>
        <v>99.730643998734067</v>
      </c>
      <c r="E6" s="128">
        <v>97448.530350000001</v>
      </c>
    </row>
    <row r="7" spans="1:9" ht="14.1" customHeight="1" x14ac:dyDescent="0.25">
      <c r="A7" s="130" t="s">
        <v>126</v>
      </c>
      <c r="B7" s="131">
        <f>SUM(podrobne!E84:E85)/1000</f>
        <v>98535</v>
      </c>
      <c r="C7" s="131">
        <f>SUM(podrobne!F84:F85)/1000</f>
        <v>98326.612209999992</v>
      </c>
      <c r="D7" s="132">
        <f t="shared" si="0"/>
        <v>99.788513939209409</v>
      </c>
      <c r="E7" s="131">
        <v>94797.167960000006</v>
      </c>
    </row>
    <row r="8" spans="1:9" ht="14.1" customHeight="1" x14ac:dyDescent="0.25">
      <c r="A8" s="130" t="s">
        <v>127</v>
      </c>
      <c r="B8" s="131">
        <f>(podrobne!E82+podrobne!E83+podrobne!E86+podrobne!E90+podrobne!E92+podrobne!E96)/1000</f>
        <v>2577</v>
      </c>
      <c r="C8" s="131">
        <f>(podrobne!F82+podrobne!F83+podrobne!F86+podrobne!F90+podrobne!F92+podrobne!F96)/1000</f>
        <v>2513.0365499999998</v>
      </c>
      <c r="D8" s="132">
        <f t="shared" si="0"/>
        <v>97.517910360884741</v>
      </c>
      <c r="E8" s="131">
        <v>2651.3623900000002</v>
      </c>
    </row>
    <row r="9" spans="1:9" ht="14.1" customHeight="1" x14ac:dyDescent="0.25">
      <c r="A9" s="130" t="s">
        <v>128</v>
      </c>
      <c r="B9" s="131">
        <f>podrobne!E89/1000</f>
        <v>0</v>
      </c>
      <c r="C9" s="131">
        <v>0</v>
      </c>
      <c r="D9" s="133" t="s">
        <v>185</v>
      </c>
      <c r="E9" s="131">
        <v>0</v>
      </c>
    </row>
    <row r="10" spans="1:9" ht="14.1" customHeight="1" x14ac:dyDescent="0.25">
      <c r="A10" s="134" t="s">
        <v>99</v>
      </c>
      <c r="B10" s="135">
        <f>B11+B17+B25+B33+B34</f>
        <v>109001.33714</v>
      </c>
      <c r="C10" s="135">
        <f>C11+C17+C25+C33+C34</f>
        <v>107248.38329</v>
      </c>
      <c r="D10" s="136">
        <f t="shared" si="0"/>
        <v>98.39180518698727</v>
      </c>
      <c r="E10" s="135">
        <v>101002.73184000001</v>
      </c>
    </row>
    <row r="11" spans="1:9" ht="14.1" customHeight="1" x14ac:dyDescent="0.25">
      <c r="A11" s="134" t="s">
        <v>129</v>
      </c>
      <c r="B11" s="135">
        <f>(podrobne!E21+podrobne!E76)/1000</f>
        <v>22441.33714</v>
      </c>
      <c r="C11" s="135">
        <f>(podrobne!F21+podrobne!F76)/1000</f>
        <v>21939.927770000002</v>
      </c>
      <c r="D11" s="136">
        <f t="shared" si="0"/>
        <v>97.765688528843171</v>
      </c>
      <c r="E11" s="135">
        <v>22798.028829999999</v>
      </c>
    </row>
    <row r="12" spans="1:9" ht="14.1" customHeight="1" x14ac:dyDescent="0.25">
      <c r="A12" s="130" t="s">
        <v>130</v>
      </c>
      <c r="B12" s="131">
        <f>SUM(podrobne!E14:E15,podrobne!E11:E11)/1000</f>
        <v>1660</v>
      </c>
      <c r="C12" s="131">
        <f>SUM(podrobne!F14:F15,podrobne!F11:F11)/1000</f>
        <v>1639.72012</v>
      </c>
      <c r="D12" s="132">
        <f t="shared" si="0"/>
        <v>98.778320481927707</v>
      </c>
      <c r="E12" s="131">
        <v>1639.1286200000002</v>
      </c>
      <c r="I12" t="s">
        <v>170</v>
      </c>
    </row>
    <row r="13" spans="1:9" ht="14.1" customHeight="1" x14ac:dyDescent="0.25">
      <c r="A13" s="130" t="s">
        <v>193</v>
      </c>
      <c r="B13" s="131">
        <f>(podrobne!E74+podrobne!E75+podrobne!E13)/1000</f>
        <v>931.33713999999998</v>
      </c>
      <c r="C13" s="131">
        <f>(podrobne!F74+podrobne!F75+podrobne!F13)/1000</f>
        <v>639.89102000000003</v>
      </c>
      <c r="D13" s="132">
        <f t="shared" si="0"/>
        <v>68.706700561732134</v>
      </c>
      <c r="E13" s="131">
        <v>1779.37302</v>
      </c>
    </row>
    <row r="14" spans="1:9" ht="14.1" customHeight="1" x14ac:dyDescent="0.25">
      <c r="A14" s="130" t="s">
        <v>131</v>
      </c>
      <c r="B14" s="131">
        <f>podrobne!E12/1000</f>
        <v>11000</v>
      </c>
      <c r="C14" s="131">
        <f>podrobne!F12/1000</f>
        <v>10999.995429999999</v>
      </c>
      <c r="D14" s="132">
        <f t="shared" si="0"/>
        <v>99.99995845454545</v>
      </c>
      <c r="E14" s="131">
        <v>10456.796920000001</v>
      </c>
    </row>
    <row r="15" spans="1:9" ht="14.1" customHeight="1" x14ac:dyDescent="0.25">
      <c r="A15" s="130" t="s">
        <v>178</v>
      </c>
      <c r="B15" s="131">
        <f>SUM(podrobne!E8:E10)/1000</f>
        <v>6200</v>
      </c>
      <c r="C15" s="131">
        <f>SUM(podrobne!F8:F10)/1000</f>
        <v>6189.12021</v>
      </c>
      <c r="D15" s="132">
        <f t="shared" si="0"/>
        <v>99.82451951612903</v>
      </c>
      <c r="E15" s="131">
        <v>6686.7314800000004</v>
      </c>
    </row>
    <row r="16" spans="1:9" ht="14.1" customHeight="1" x14ac:dyDescent="0.25">
      <c r="A16" s="130" t="s">
        <v>132</v>
      </c>
      <c r="B16" s="131">
        <f>podrobne!E20/1000</f>
        <v>2650</v>
      </c>
      <c r="C16" s="131">
        <f>podrobne!F20/1000</f>
        <v>2471.2009900000003</v>
      </c>
      <c r="D16" s="132">
        <f t="shared" si="0"/>
        <v>93.252867547169828</v>
      </c>
      <c r="E16" s="131">
        <v>2235.9987900000001</v>
      </c>
    </row>
    <row r="17" spans="1:5" ht="14.1" customHeight="1" x14ac:dyDescent="0.25">
      <c r="A17" s="134" t="s">
        <v>133</v>
      </c>
      <c r="B17" s="135">
        <f>podrobne!E44/1000</f>
        <v>15410</v>
      </c>
      <c r="C17" s="135">
        <f>podrobne!F44/1000</f>
        <v>14489.81438</v>
      </c>
      <c r="D17" s="136">
        <f t="shared" si="0"/>
        <v>94.028646203763785</v>
      </c>
      <c r="E17" s="135">
        <v>14190.43951</v>
      </c>
    </row>
    <row r="18" spans="1:5" ht="14.1" customHeight="1" x14ac:dyDescent="0.25">
      <c r="A18" s="130" t="s">
        <v>134</v>
      </c>
      <c r="B18" s="131">
        <f>SUM(podrobne!E33,podrobne!E34)/1000</f>
        <v>183</v>
      </c>
      <c r="C18" s="131">
        <f>SUM(podrobne!F33,podrobne!F34)/1000</f>
        <v>170.50294</v>
      </c>
      <c r="D18" s="137">
        <f t="shared" si="0"/>
        <v>93.171005464480871</v>
      </c>
      <c r="E18" s="131">
        <v>163.56549999999999</v>
      </c>
    </row>
    <row r="19" spans="1:5" ht="14.1" customHeight="1" x14ac:dyDescent="0.25">
      <c r="A19" s="130" t="s">
        <v>135</v>
      </c>
      <c r="B19" s="131">
        <f>podrobne!E30/1000</f>
        <v>1650</v>
      </c>
      <c r="C19" s="131">
        <f>podrobne!F30/1000</f>
        <v>1543.23281</v>
      </c>
      <c r="D19" s="132">
        <f t="shared" si="0"/>
        <v>93.529261212121213</v>
      </c>
      <c r="E19" s="131">
        <v>1194.8140100000001</v>
      </c>
    </row>
    <row r="20" spans="1:5" ht="14.1" customHeight="1" x14ac:dyDescent="0.25">
      <c r="A20" s="130" t="s">
        <v>136</v>
      </c>
      <c r="B20" s="131">
        <f>podrobne!E31/1000</f>
        <v>3750</v>
      </c>
      <c r="C20" s="131">
        <f>podrobne!F31/1000</f>
        <v>3749.2072000000003</v>
      </c>
      <c r="D20" s="132">
        <f t="shared" si="0"/>
        <v>99.978858666666667</v>
      </c>
      <c r="E20" s="131">
        <v>3584.8083799999999</v>
      </c>
    </row>
    <row r="21" spans="1:5" ht="14.1" customHeight="1" x14ac:dyDescent="0.25">
      <c r="A21" s="130" t="s">
        <v>137</v>
      </c>
      <c r="B21" s="131">
        <f>podrobne!E22/1000</f>
        <v>2778</v>
      </c>
      <c r="C21" s="131">
        <f>podrobne!F22/1000</f>
        <v>2161.13985</v>
      </c>
      <c r="D21" s="132">
        <f t="shared" si="0"/>
        <v>77.794811015118796</v>
      </c>
      <c r="E21" s="131">
        <v>2435.6571200000003</v>
      </c>
    </row>
    <row r="22" spans="1:5" ht="14.1" customHeight="1" x14ac:dyDescent="0.25">
      <c r="A22" s="130" t="s">
        <v>138</v>
      </c>
      <c r="B22" s="131">
        <f>podrobne!E24/1000</f>
        <v>30</v>
      </c>
      <c r="C22" s="131">
        <f>podrobne!F24/1000</f>
        <v>9.0709999999999997</v>
      </c>
      <c r="D22" s="132">
        <f t="shared" si="0"/>
        <v>30.236666666666668</v>
      </c>
      <c r="E22" s="131">
        <v>10.920999999999999</v>
      </c>
    </row>
    <row r="23" spans="1:5" ht="14.1" customHeight="1" x14ac:dyDescent="0.25">
      <c r="A23" s="130" t="s">
        <v>139</v>
      </c>
      <c r="B23" s="131">
        <f>((podrobne!E43-podrobne!E30-podrobne!E31-podrobne!E34-podrobne!E33)+podrobne!E26)/1000</f>
        <v>7019</v>
      </c>
      <c r="C23" s="131">
        <f>((podrobne!F43-podrobne!F30-podrobne!F31-podrobne!F34-podrobne!F33)+podrobne!F26)/1000</f>
        <v>6856.6605799999979</v>
      </c>
      <c r="D23" s="132">
        <f t="shared" si="0"/>
        <v>97.687143182789541</v>
      </c>
      <c r="E23" s="131">
        <v>6800.6735000000008</v>
      </c>
    </row>
    <row r="24" spans="1:5" ht="14.1" customHeight="1" x14ac:dyDescent="0.25">
      <c r="A24" s="138" t="s">
        <v>210</v>
      </c>
      <c r="B24" s="131"/>
      <c r="C24" s="139" t="s">
        <v>185</v>
      </c>
      <c r="D24" s="133" t="s">
        <v>185</v>
      </c>
      <c r="E24" s="131" t="s">
        <v>185</v>
      </c>
    </row>
    <row r="25" spans="1:5" ht="14.1" customHeight="1" x14ac:dyDescent="0.25">
      <c r="A25" s="134" t="s">
        <v>140</v>
      </c>
      <c r="B25" s="135">
        <f>(podrobne!E63)/1000</f>
        <v>70835</v>
      </c>
      <c r="C25" s="135">
        <f>(podrobne!F63)/1000</f>
        <v>70499.421140000006</v>
      </c>
      <c r="D25" s="136">
        <f t="shared" si="0"/>
        <v>99.526252756405739</v>
      </c>
      <c r="E25" s="135">
        <v>63690.636500000001</v>
      </c>
    </row>
    <row r="26" spans="1:5" ht="14.1" customHeight="1" x14ac:dyDescent="0.25">
      <c r="A26" s="130" t="s">
        <v>141</v>
      </c>
      <c r="B26" s="131">
        <f>podrobne!E45/1000</f>
        <v>46800</v>
      </c>
      <c r="C26" s="131">
        <f>podrobne!F45/1000</f>
        <v>46716.169000000002</v>
      </c>
      <c r="D26" s="137">
        <f t="shared" si="0"/>
        <v>99.820873931623936</v>
      </c>
      <c r="E26" s="131">
        <v>43754.82</v>
      </c>
    </row>
    <row r="27" spans="1:5" ht="14.1" customHeight="1" x14ac:dyDescent="0.25">
      <c r="A27" s="130" t="s">
        <v>142</v>
      </c>
      <c r="B27" s="131">
        <f>podrobne!E47/1000</f>
        <v>4550</v>
      </c>
      <c r="C27" s="131">
        <f>podrobne!F47/1000</f>
        <v>4633.6989999999996</v>
      </c>
      <c r="D27" s="132">
        <f t="shared" si="0"/>
        <v>101.83953846153845</v>
      </c>
      <c r="E27" s="131">
        <v>2762.9560000000001</v>
      </c>
    </row>
    <row r="28" spans="1:5" ht="14.1" customHeight="1" x14ac:dyDescent="0.25">
      <c r="A28" s="130" t="s">
        <v>143</v>
      </c>
      <c r="B28" s="131">
        <f>podrobne!E50/1000</f>
        <v>12780</v>
      </c>
      <c r="C28" s="131">
        <f>podrobne!F50/1000</f>
        <v>12676.779</v>
      </c>
      <c r="D28" s="132">
        <f t="shared" si="0"/>
        <v>99.192323943661975</v>
      </c>
      <c r="E28" s="131">
        <v>11440.561</v>
      </c>
    </row>
    <row r="29" spans="1:5" ht="14.1" customHeight="1" x14ac:dyDescent="0.25">
      <c r="A29" s="130" t="s">
        <v>144</v>
      </c>
      <c r="B29" s="131">
        <f>podrobne!E51/1000</f>
        <v>4700</v>
      </c>
      <c r="C29" s="131">
        <f>podrobne!F51/1000</f>
        <v>4613.027</v>
      </c>
      <c r="D29" s="132">
        <f t="shared" si="0"/>
        <v>98.149510638297883</v>
      </c>
      <c r="E29" s="131">
        <v>4181.3339999999998</v>
      </c>
    </row>
    <row r="30" spans="1:5" ht="14.1" customHeight="1" x14ac:dyDescent="0.25">
      <c r="A30" s="130" t="s">
        <v>186</v>
      </c>
      <c r="B30" s="131">
        <f>(podrobne!E46+podrobne!E48)/1000</f>
        <v>280</v>
      </c>
      <c r="C30" s="131">
        <f>(podrobne!F46+podrobne!F48)/1000</f>
        <v>264.14699999999999</v>
      </c>
      <c r="D30" s="132">
        <f t="shared" si="0"/>
        <v>94.338214285714287</v>
      </c>
      <c r="E30" s="131">
        <v>197.35900000000001</v>
      </c>
    </row>
    <row r="31" spans="1:5" ht="14.1" customHeight="1" x14ac:dyDescent="0.25">
      <c r="A31" s="130" t="s">
        <v>187</v>
      </c>
      <c r="B31" s="131">
        <f>podrobne!E53/1000</f>
        <v>259</v>
      </c>
      <c r="C31" s="131">
        <f>podrobne!F53/1000</f>
        <v>215.13499999999999</v>
      </c>
      <c r="D31" s="132">
        <f t="shared" si="0"/>
        <v>83.06370656370656</v>
      </c>
      <c r="E31" s="131">
        <v>183.95</v>
      </c>
    </row>
    <row r="32" spans="1:5" ht="14.1" customHeight="1" x14ac:dyDescent="0.25">
      <c r="A32" s="130" t="s">
        <v>145</v>
      </c>
      <c r="B32" s="131">
        <f>(podrobne!E60+podrobne!E61)/1000</f>
        <v>1466</v>
      </c>
      <c r="C32" s="131">
        <f>(podrobne!F60+podrobne!F61)/1000</f>
        <v>1380.46514</v>
      </c>
      <c r="D32" s="132">
        <f t="shared" si="0"/>
        <v>94.165425648021824</v>
      </c>
      <c r="E32" s="131">
        <v>1169.6565000000001</v>
      </c>
    </row>
    <row r="33" spans="1:5" ht="14.1" customHeight="1" x14ac:dyDescent="0.25">
      <c r="A33" s="134" t="s">
        <v>146</v>
      </c>
      <c r="B33" s="135">
        <f>(podrobne!E64+podrobne!E78)/1000</f>
        <v>48</v>
      </c>
      <c r="C33" s="135">
        <f>(podrobne!F64+podrobne!F78)/1000</f>
        <v>42.54</v>
      </c>
      <c r="D33" s="128">
        <f>C33/B33*100</f>
        <v>88.625</v>
      </c>
      <c r="E33" s="135">
        <v>61.97</v>
      </c>
    </row>
    <row r="34" spans="1:5" ht="14.1" customHeight="1" x14ac:dyDescent="0.25">
      <c r="A34" s="134" t="s">
        <v>147</v>
      </c>
      <c r="B34" s="135">
        <f>podrobne!E70/1000</f>
        <v>267</v>
      </c>
      <c r="C34" s="135">
        <f>podrobne!F70/1000</f>
        <v>276.68</v>
      </c>
      <c r="D34" s="128">
        <f>C34/B34*100</f>
        <v>103.62546816479401</v>
      </c>
      <c r="E34" s="135">
        <v>261.65699999999998</v>
      </c>
    </row>
    <row r="35" spans="1:5" ht="14.1" customHeight="1" thickBot="1" x14ac:dyDescent="0.3">
      <c r="A35" s="140" t="s">
        <v>148</v>
      </c>
      <c r="B35" s="141">
        <f>B34</f>
        <v>267</v>
      </c>
      <c r="C35" s="141">
        <f>C34</f>
        <v>276.68</v>
      </c>
      <c r="D35" s="141">
        <f>C35/B35*100</f>
        <v>103.62546816479401</v>
      </c>
      <c r="E35" s="141">
        <v>261.65699999999998</v>
      </c>
    </row>
    <row r="36" spans="1:5" ht="14.1" customHeight="1" thickBot="1" x14ac:dyDescent="0.3">
      <c r="A36" s="142" t="s">
        <v>124</v>
      </c>
      <c r="B36" s="143">
        <f>B6-B10</f>
        <v>-7889.3371400000033</v>
      </c>
      <c r="C36" s="143">
        <f>C6-C10</f>
        <v>-6408.7345300000015</v>
      </c>
      <c r="D36" s="143" t="s">
        <v>170</v>
      </c>
      <c r="E36" s="143">
        <v>-3554.2014900000067</v>
      </c>
    </row>
    <row r="37" spans="1:5" ht="14.1" customHeight="1" x14ac:dyDescent="0.25">
      <c r="A37" s="144" t="s">
        <v>190</v>
      </c>
      <c r="B37" s="128">
        <f>podrobne!E98/1000</f>
        <v>7235.3371399999996</v>
      </c>
      <c r="C37" s="128">
        <f>podrobne!F98/1000</f>
        <v>5754.7345300000006</v>
      </c>
      <c r="D37" s="128"/>
      <c r="E37" s="128">
        <v>2386.2014900000004</v>
      </c>
    </row>
    <row r="38" spans="1:5" ht="14.1" customHeight="1" thickBot="1" x14ac:dyDescent="0.3">
      <c r="A38" s="145" t="s">
        <v>191</v>
      </c>
      <c r="B38" s="146">
        <f>podrobne!E99/1000</f>
        <v>654</v>
      </c>
      <c r="C38" s="146">
        <f>podrobne!F99/1000</f>
        <v>654</v>
      </c>
      <c r="D38" s="147"/>
      <c r="E38" s="135">
        <v>1168</v>
      </c>
    </row>
    <row r="39" spans="1:5" ht="14.1" customHeight="1" x14ac:dyDescent="0.25">
      <c r="A39" s="144" t="s">
        <v>208</v>
      </c>
      <c r="B39" s="135"/>
      <c r="C39" s="135"/>
      <c r="D39" s="135"/>
      <c r="E39" s="146"/>
    </row>
    <row r="40" spans="1:5" ht="14.1" customHeight="1" x14ac:dyDescent="0.25">
      <c r="A40" s="134" t="s">
        <v>207</v>
      </c>
      <c r="B40" s="148">
        <f>B41</f>
        <v>106.33</v>
      </c>
      <c r="C40" s="149">
        <f>C41</f>
        <v>106.33</v>
      </c>
      <c r="D40" s="135"/>
      <c r="E40" s="149"/>
    </row>
    <row r="41" spans="1:5" ht="14.1" customHeight="1" x14ac:dyDescent="0.25">
      <c r="A41" s="150" t="s">
        <v>188</v>
      </c>
      <c r="B41" s="151">
        <f>106330/1000</f>
        <v>106.33</v>
      </c>
      <c r="C41" s="151">
        <f>106330/1000</f>
        <v>106.33</v>
      </c>
      <c r="D41" s="152"/>
      <c r="E41" s="152"/>
    </row>
    <row r="42" spans="1:5" ht="14.1" customHeight="1" thickBot="1" x14ac:dyDescent="0.3">
      <c r="A42" s="145" t="s">
        <v>196</v>
      </c>
      <c r="B42" s="153"/>
      <c r="C42" s="153"/>
      <c r="D42" s="154"/>
      <c r="E42" s="153">
        <v>46.463999999999999</v>
      </c>
    </row>
    <row r="43" spans="1:5" ht="14.1" customHeight="1" x14ac:dyDescent="0.25">
      <c r="A43" s="155" t="s">
        <v>149</v>
      </c>
      <c r="B43" s="128">
        <f>B36+B37+B38</f>
        <v>-3.637978807091713E-12</v>
      </c>
      <c r="C43" s="128">
        <f>C36+C37+C38</f>
        <v>-9.0949470177292824E-13</v>
      </c>
      <c r="D43" s="128"/>
      <c r="E43" s="156"/>
    </row>
    <row r="44" spans="1:5" x14ac:dyDescent="0.25">
      <c r="C44" s="3"/>
      <c r="E44" s="5"/>
    </row>
    <row r="45" spans="1:5" x14ac:dyDescent="0.25">
      <c r="A45" s="7" t="s">
        <v>184</v>
      </c>
      <c r="C45" s="3"/>
      <c r="E45" s="5"/>
    </row>
    <row r="46" spans="1:5" x14ac:dyDescent="0.25">
      <c r="A46" s="7" t="s">
        <v>170</v>
      </c>
      <c r="C46" s="104"/>
      <c r="E46" s="5"/>
    </row>
    <row r="47" spans="1:5" x14ac:dyDescent="0.25">
      <c r="A47" s="100" t="s">
        <v>205</v>
      </c>
      <c r="C47" s="3"/>
      <c r="E47" s="5"/>
    </row>
  </sheetData>
  <mergeCells count="1">
    <mergeCell ref="A1:E1"/>
  </mergeCells>
  <pageMargins left="0.51181102362204722" right="0.5118110236220472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podrobne</vt:lpstr>
      <vt:lpstr>plnění</vt:lpstr>
      <vt:lpstr>podrobne!Názvy_tisku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Havránková</dc:creator>
  <cp:lastModifiedBy>Hladík Jan</cp:lastModifiedBy>
  <cp:lastPrinted>2026-01-27T10:55:59Z</cp:lastPrinted>
  <dcterms:created xsi:type="dcterms:W3CDTF">2020-07-09T12:06:13Z</dcterms:created>
  <dcterms:modified xsi:type="dcterms:W3CDTF">2026-04-02T06:41:55Z</dcterms:modified>
</cp:coreProperties>
</file>